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331"/>
  </bookViews>
  <sheets>
    <sheet name="Прайс" sheetId="1" r:id="rId1"/>
  </sheets>
  <calcPr calcId="191029"/>
</workbook>
</file>

<file path=xl/calcChain.xml><?xml version="1.0" encoding="utf-8"?>
<calcChain xmlns="http://schemas.openxmlformats.org/spreadsheetml/2006/main">
  <c r="Y2612" i="1" l="1"/>
  <c r="X2612" i="1"/>
  <c r="AX2612" i="1"/>
  <c r="AW2612" i="1"/>
  <c r="AV2612" i="1"/>
  <c r="AU2612" i="1"/>
  <c r="AT2612" i="1"/>
  <c r="A17" i="1"/>
  <c r="Y2609" i="1"/>
  <c r="X2609" i="1"/>
  <c r="AX2609" i="1"/>
  <c r="AW2609" i="1"/>
  <c r="AV2609" i="1"/>
  <c r="AU2609" i="1"/>
  <c r="AT2609" i="1"/>
  <c r="A16" i="1"/>
  <c r="Y2606" i="1"/>
  <c r="X2606" i="1"/>
  <c r="AX2606" i="1"/>
  <c r="AW2606" i="1"/>
  <c r="AV2606" i="1"/>
  <c r="AU2606" i="1"/>
  <c r="AT2606" i="1"/>
  <c r="Y2605" i="1"/>
  <c r="X2605" i="1"/>
  <c r="AX2605" i="1"/>
  <c r="AW2605" i="1"/>
  <c r="AV2605" i="1"/>
  <c r="AU2605" i="1"/>
  <c r="AT2605" i="1"/>
  <c r="A15" i="1"/>
  <c r="Y2602" i="1"/>
  <c r="X2602" i="1"/>
  <c r="AX2602" i="1"/>
  <c r="AW2602" i="1"/>
  <c r="AV2602" i="1"/>
  <c r="AU2602" i="1"/>
  <c r="AT2602" i="1"/>
  <c r="Y2601" i="1"/>
  <c r="X2601" i="1"/>
  <c r="AX2601" i="1"/>
  <c r="AW2601" i="1"/>
  <c r="AV2601" i="1"/>
  <c r="AU2601" i="1"/>
  <c r="AT2601" i="1"/>
  <c r="Y2600" i="1"/>
  <c r="X2600" i="1"/>
  <c r="AX2600" i="1"/>
  <c r="AW2600" i="1"/>
  <c r="AV2600" i="1"/>
  <c r="AU2600" i="1"/>
  <c r="AT2600" i="1"/>
  <c r="Y2599" i="1"/>
  <c r="X2599" i="1"/>
  <c r="AX2599" i="1"/>
  <c r="AW2599" i="1"/>
  <c r="AV2599" i="1"/>
  <c r="AU2599" i="1"/>
  <c r="AT2599" i="1"/>
  <c r="Y2598" i="1"/>
  <c r="X2598" i="1"/>
  <c r="AX2598" i="1"/>
  <c r="AW2598" i="1"/>
  <c r="AV2598" i="1"/>
  <c r="AU2598" i="1"/>
  <c r="AT2598" i="1"/>
  <c r="Y2597" i="1"/>
  <c r="X2597" i="1"/>
  <c r="AX2597" i="1"/>
  <c r="AW2597" i="1"/>
  <c r="AV2597" i="1"/>
  <c r="AU2597" i="1"/>
  <c r="AT2597" i="1"/>
  <c r="Y2596" i="1"/>
  <c r="X2596" i="1"/>
  <c r="AX2596" i="1"/>
  <c r="AW2596" i="1"/>
  <c r="AV2596" i="1"/>
  <c r="AU2596" i="1"/>
  <c r="AT2596" i="1"/>
  <c r="Y2595" i="1"/>
  <c r="X2595" i="1"/>
  <c r="AX2595" i="1"/>
  <c r="AW2595" i="1"/>
  <c r="AV2595" i="1"/>
  <c r="AU2595" i="1"/>
  <c r="AT2595" i="1"/>
  <c r="Y2594" i="1"/>
  <c r="X2594" i="1"/>
  <c r="AX2594" i="1"/>
  <c r="AW2594" i="1"/>
  <c r="AV2594" i="1"/>
  <c r="AU2594" i="1"/>
  <c r="AT2594" i="1"/>
  <c r="Y2593" i="1"/>
  <c r="X2593" i="1"/>
  <c r="AX2593" i="1"/>
  <c r="AW2593" i="1"/>
  <c r="AV2593" i="1"/>
  <c r="AU2593" i="1"/>
  <c r="AT2593" i="1"/>
  <c r="Y2592" i="1"/>
  <c r="X2592" i="1"/>
  <c r="AX2592" i="1"/>
  <c r="AW2592" i="1"/>
  <c r="AV2592" i="1"/>
  <c r="AU2592" i="1"/>
  <c r="AT2592" i="1"/>
  <c r="Y2591" i="1"/>
  <c r="X2591" i="1"/>
  <c r="AX2591" i="1"/>
  <c r="AW2591" i="1"/>
  <c r="AV2591" i="1"/>
  <c r="AU2591" i="1"/>
  <c r="AT2591" i="1"/>
  <c r="Y2590" i="1"/>
  <c r="X2590" i="1"/>
  <c r="AX2590" i="1"/>
  <c r="AW2590" i="1"/>
  <c r="AV2590" i="1"/>
  <c r="AU2590" i="1"/>
  <c r="AT2590" i="1"/>
  <c r="Y2589" i="1"/>
  <c r="X2589" i="1"/>
  <c r="AX2589" i="1"/>
  <c r="AW2589" i="1"/>
  <c r="AV2589" i="1"/>
  <c r="AU2589" i="1"/>
  <c r="AT2589" i="1"/>
  <c r="Y2588" i="1"/>
  <c r="X2588" i="1"/>
  <c r="AX2588" i="1"/>
  <c r="AW2588" i="1"/>
  <c r="AV2588" i="1"/>
  <c r="AU2588" i="1"/>
  <c r="AT2588" i="1"/>
  <c r="Y2587" i="1"/>
  <c r="X2587" i="1"/>
  <c r="AX2587" i="1"/>
  <c r="AW2587" i="1"/>
  <c r="AV2587" i="1"/>
  <c r="AU2587" i="1"/>
  <c r="AT2587" i="1"/>
  <c r="Y2586" i="1"/>
  <c r="X2586" i="1"/>
  <c r="AX2586" i="1"/>
  <c r="AW2586" i="1"/>
  <c r="AV2586" i="1"/>
  <c r="AU2586" i="1"/>
  <c r="AT2586" i="1"/>
  <c r="Y2585" i="1"/>
  <c r="X2585" i="1"/>
  <c r="AX2585" i="1"/>
  <c r="AW2585" i="1"/>
  <c r="AV2585" i="1"/>
  <c r="AU2585" i="1"/>
  <c r="AT2585" i="1"/>
  <c r="Y2584" i="1"/>
  <c r="X2584" i="1"/>
  <c r="AX2584" i="1"/>
  <c r="AW2584" i="1"/>
  <c r="AV2584" i="1"/>
  <c r="AU2584" i="1"/>
  <c r="AT2584" i="1"/>
  <c r="Y2583" i="1"/>
  <c r="X2583" i="1"/>
  <c r="AX2583" i="1"/>
  <c r="AW2583" i="1"/>
  <c r="AV2583" i="1"/>
  <c r="AU2583" i="1"/>
  <c r="AT2583" i="1"/>
  <c r="Y2582" i="1"/>
  <c r="X2582" i="1"/>
  <c r="AX2582" i="1"/>
  <c r="AW2582" i="1"/>
  <c r="AV2582" i="1"/>
  <c r="AU2582" i="1"/>
  <c r="AT2582" i="1"/>
  <c r="Y2581" i="1"/>
  <c r="X2581" i="1"/>
  <c r="AX2581" i="1"/>
  <c r="AW2581" i="1"/>
  <c r="AV2581" i="1"/>
  <c r="AU2581" i="1"/>
  <c r="AT2581" i="1"/>
  <c r="Y2580" i="1"/>
  <c r="X2580" i="1"/>
  <c r="AX2580" i="1"/>
  <c r="AW2580" i="1"/>
  <c r="AV2580" i="1"/>
  <c r="AU2580" i="1"/>
  <c r="AT2580" i="1"/>
  <c r="Y2579" i="1"/>
  <c r="X2579" i="1"/>
  <c r="AX2579" i="1"/>
  <c r="AW2579" i="1"/>
  <c r="AV2579" i="1"/>
  <c r="AU2579" i="1"/>
  <c r="AT2579" i="1"/>
  <c r="Y2578" i="1"/>
  <c r="X2578" i="1"/>
  <c r="AX2578" i="1"/>
  <c r="AW2578" i="1"/>
  <c r="AV2578" i="1"/>
  <c r="AU2578" i="1"/>
  <c r="AT2578" i="1"/>
  <c r="Y2577" i="1"/>
  <c r="X2577" i="1"/>
  <c r="AX2577" i="1"/>
  <c r="AW2577" i="1"/>
  <c r="AV2577" i="1"/>
  <c r="AU2577" i="1"/>
  <c r="AT2577" i="1"/>
  <c r="Y2576" i="1"/>
  <c r="X2576" i="1"/>
  <c r="AX2576" i="1"/>
  <c r="AW2576" i="1"/>
  <c r="AV2576" i="1"/>
  <c r="AU2576" i="1"/>
  <c r="AT2576" i="1"/>
  <c r="Y2575" i="1"/>
  <c r="X2575" i="1"/>
  <c r="AX2575" i="1"/>
  <c r="AW2575" i="1"/>
  <c r="AV2575" i="1"/>
  <c r="AU2575" i="1"/>
  <c r="AT2575" i="1"/>
  <c r="Y2574" i="1"/>
  <c r="X2574" i="1"/>
  <c r="AX2574" i="1"/>
  <c r="AW2574" i="1"/>
  <c r="AV2574" i="1"/>
  <c r="AU2574" i="1"/>
  <c r="AT2574" i="1"/>
  <c r="Y2573" i="1"/>
  <c r="X2573" i="1"/>
  <c r="AX2573" i="1"/>
  <c r="AW2573" i="1"/>
  <c r="AV2573" i="1"/>
  <c r="AU2573" i="1"/>
  <c r="AT2573" i="1"/>
  <c r="Y2572" i="1"/>
  <c r="X2572" i="1"/>
  <c r="AX2572" i="1"/>
  <c r="AW2572" i="1"/>
  <c r="AV2572" i="1"/>
  <c r="AU2572" i="1"/>
  <c r="AT2572" i="1"/>
  <c r="Y2571" i="1"/>
  <c r="X2571" i="1"/>
  <c r="AX2571" i="1"/>
  <c r="AW2571" i="1"/>
  <c r="AV2571" i="1"/>
  <c r="AU2571" i="1"/>
  <c r="AT2571" i="1"/>
  <c r="Y2570" i="1"/>
  <c r="X2570" i="1"/>
  <c r="AX2570" i="1"/>
  <c r="AW2570" i="1"/>
  <c r="AV2570" i="1"/>
  <c r="AU2570" i="1"/>
  <c r="AT2570" i="1"/>
  <c r="Y2569" i="1"/>
  <c r="X2569" i="1"/>
  <c r="AX2569" i="1"/>
  <c r="AW2569" i="1"/>
  <c r="AV2569" i="1"/>
  <c r="AU2569" i="1"/>
  <c r="AT2569" i="1"/>
  <c r="Y2568" i="1"/>
  <c r="X2568" i="1"/>
  <c r="AX2568" i="1"/>
  <c r="AW2568" i="1"/>
  <c r="AV2568" i="1"/>
  <c r="AU2568" i="1"/>
  <c r="AT2568" i="1"/>
  <c r="Y2567" i="1"/>
  <c r="X2567" i="1"/>
  <c r="AX2567" i="1"/>
  <c r="AW2567" i="1"/>
  <c r="AV2567" i="1"/>
  <c r="AU2567" i="1"/>
  <c r="AT2567" i="1"/>
  <c r="Y2566" i="1"/>
  <c r="X2566" i="1"/>
  <c r="AX2566" i="1"/>
  <c r="AW2566" i="1"/>
  <c r="AV2566" i="1"/>
  <c r="AU2566" i="1"/>
  <c r="AT2566" i="1"/>
  <c r="Y2565" i="1"/>
  <c r="X2565" i="1"/>
  <c r="AX2565" i="1"/>
  <c r="AW2565" i="1"/>
  <c r="AV2565" i="1"/>
  <c r="AU2565" i="1"/>
  <c r="AT2565" i="1"/>
  <c r="Y2564" i="1"/>
  <c r="X2564" i="1"/>
  <c r="AX2564" i="1"/>
  <c r="AW2564" i="1"/>
  <c r="AV2564" i="1"/>
  <c r="AU2564" i="1"/>
  <c r="AT2564" i="1"/>
  <c r="Y2563" i="1"/>
  <c r="X2563" i="1"/>
  <c r="AX2563" i="1"/>
  <c r="AW2563" i="1"/>
  <c r="AV2563" i="1"/>
  <c r="AU2563" i="1"/>
  <c r="AT2563" i="1"/>
  <c r="Y2562" i="1"/>
  <c r="X2562" i="1"/>
  <c r="AX2562" i="1"/>
  <c r="AW2562" i="1"/>
  <c r="AV2562" i="1"/>
  <c r="AU2562" i="1"/>
  <c r="AT2562" i="1"/>
  <c r="Y2561" i="1"/>
  <c r="X2561" i="1"/>
  <c r="AX2561" i="1"/>
  <c r="AW2561" i="1"/>
  <c r="AV2561" i="1"/>
  <c r="AU2561" i="1"/>
  <c r="AT2561" i="1"/>
  <c r="Y2560" i="1"/>
  <c r="X2560" i="1"/>
  <c r="AX2560" i="1"/>
  <c r="AW2560" i="1"/>
  <c r="AV2560" i="1"/>
  <c r="AU2560" i="1"/>
  <c r="AT2560" i="1"/>
  <c r="Y2559" i="1"/>
  <c r="X2559" i="1"/>
  <c r="AX2559" i="1"/>
  <c r="AW2559" i="1"/>
  <c r="AV2559" i="1"/>
  <c r="AU2559" i="1"/>
  <c r="AT2559" i="1"/>
  <c r="Y2558" i="1"/>
  <c r="X2558" i="1"/>
  <c r="AX2558" i="1"/>
  <c r="AW2558" i="1"/>
  <c r="AV2558" i="1"/>
  <c r="AU2558" i="1"/>
  <c r="AT2558" i="1"/>
  <c r="Y2557" i="1"/>
  <c r="X2557" i="1"/>
  <c r="AX2557" i="1"/>
  <c r="AW2557" i="1"/>
  <c r="AV2557" i="1"/>
  <c r="AU2557" i="1"/>
  <c r="AT2557" i="1"/>
  <c r="Y2556" i="1"/>
  <c r="X2556" i="1"/>
  <c r="AX2556" i="1"/>
  <c r="AW2556" i="1"/>
  <c r="AV2556" i="1"/>
  <c r="AU2556" i="1"/>
  <c r="AT2556" i="1"/>
  <c r="Y2555" i="1"/>
  <c r="X2555" i="1"/>
  <c r="AX2555" i="1"/>
  <c r="AW2555" i="1"/>
  <c r="AV2555" i="1"/>
  <c r="AU2555" i="1"/>
  <c r="AT2555" i="1"/>
  <c r="Y2554" i="1"/>
  <c r="X2554" i="1"/>
  <c r="AX2554" i="1"/>
  <c r="AW2554" i="1"/>
  <c r="AV2554" i="1"/>
  <c r="AU2554" i="1"/>
  <c r="AT2554" i="1"/>
  <c r="Y2553" i="1"/>
  <c r="X2553" i="1"/>
  <c r="AX2553" i="1"/>
  <c r="AW2553" i="1"/>
  <c r="AV2553" i="1"/>
  <c r="AU2553" i="1"/>
  <c r="AT2553" i="1"/>
  <c r="Y2552" i="1"/>
  <c r="X2552" i="1"/>
  <c r="AX2552" i="1"/>
  <c r="AW2552" i="1"/>
  <c r="AV2552" i="1"/>
  <c r="AU2552" i="1"/>
  <c r="AT2552" i="1"/>
  <c r="Y2551" i="1"/>
  <c r="X2551" i="1"/>
  <c r="AX2551" i="1"/>
  <c r="AW2551" i="1"/>
  <c r="AV2551" i="1"/>
  <c r="AU2551" i="1"/>
  <c r="AT2551" i="1"/>
  <c r="Y2550" i="1"/>
  <c r="X2550" i="1"/>
  <c r="AX2550" i="1"/>
  <c r="AW2550" i="1"/>
  <c r="AV2550" i="1"/>
  <c r="AU2550" i="1"/>
  <c r="AT2550" i="1"/>
  <c r="Y2549" i="1"/>
  <c r="X2549" i="1"/>
  <c r="AX2549" i="1"/>
  <c r="AW2549" i="1"/>
  <c r="AV2549" i="1"/>
  <c r="AU2549" i="1"/>
  <c r="AT2549" i="1"/>
  <c r="Y2548" i="1"/>
  <c r="X2548" i="1"/>
  <c r="AX2548" i="1"/>
  <c r="AW2548" i="1"/>
  <c r="AV2548" i="1"/>
  <c r="AU2548" i="1"/>
  <c r="AT2548" i="1"/>
  <c r="Y2547" i="1"/>
  <c r="X2547" i="1"/>
  <c r="AX2547" i="1"/>
  <c r="AW2547" i="1"/>
  <c r="AV2547" i="1"/>
  <c r="AU2547" i="1"/>
  <c r="AT2547" i="1"/>
  <c r="Y2546" i="1"/>
  <c r="X2546" i="1"/>
  <c r="AX2546" i="1"/>
  <c r="AW2546" i="1"/>
  <c r="AV2546" i="1"/>
  <c r="AU2546" i="1"/>
  <c r="AT2546" i="1"/>
  <c r="Y2545" i="1"/>
  <c r="X2545" i="1"/>
  <c r="AX2545" i="1"/>
  <c r="AW2545" i="1"/>
  <c r="AV2545" i="1"/>
  <c r="AU2545" i="1"/>
  <c r="AT2545" i="1"/>
  <c r="Y2544" i="1"/>
  <c r="X2544" i="1"/>
  <c r="AX2544" i="1"/>
  <c r="AW2544" i="1"/>
  <c r="AV2544" i="1"/>
  <c r="AU2544" i="1"/>
  <c r="AT2544" i="1"/>
  <c r="Y2543" i="1"/>
  <c r="X2543" i="1"/>
  <c r="AX2543" i="1"/>
  <c r="AW2543" i="1"/>
  <c r="AV2543" i="1"/>
  <c r="AU2543" i="1"/>
  <c r="AT2543" i="1"/>
  <c r="Y2542" i="1"/>
  <c r="X2542" i="1"/>
  <c r="AX2542" i="1"/>
  <c r="AW2542" i="1"/>
  <c r="AV2542" i="1"/>
  <c r="AU2542" i="1"/>
  <c r="AT2542" i="1"/>
  <c r="Y2541" i="1"/>
  <c r="X2541" i="1"/>
  <c r="AX2541" i="1"/>
  <c r="AW2541" i="1"/>
  <c r="AV2541" i="1"/>
  <c r="AU2541" i="1"/>
  <c r="AT2541" i="1"/>
  <c r="Y2540" i="1"/>
  <c r="X2540" i="1"/>
  <c r="AX2540" i="1"/>
  <c r="AW2540" i="1"/>
  <c r="AV2540" i="1"/>
  <c r="AU2540" i="1"/>
  <c r="AT2540" i="1"/>
  <c r="Y2539" i="1"/>
  <c r="X2539" i="1"/>
  <c r="AX2539" i="1"/>
  <c r="AW2539" i="1"/>
  <c r="AV2539" i="1"/>
  <c r="AU2539" i="1"/>
  <c r="AT2539" i="1"/>
  <c r="Y2538" i="1"/>
  <c r="X2538" i="1"/>
  <c r="AX2538" i="1"/>
  <c r="AW2538" i="1"/>
  <c r="AV2538" i="1"/>
  <c r="AU2538" i="1"/>
  <c r="AT2538" i="1"/>
  <c r="Y2537" i="1"/>
  <c r="X2537" i="1"/>
  <c r="AX2537" i="1"/>
  <c r="AW2537" i="1"/>
  <c r="AV2537" i="1"/>
  <c r="AU2537" i="1"/>
  <c r="AT2537" i="1"/>
  <c r="Y2536" i="1"/>
  <c r="X2536" i="1"/>
  <c r="AX2536" i="1"/>
  <c r="AW2536" i="1"/>
  <c r="AV2536" i="1"/>
  <c r="AU2536" i="1"/>
  <c r="AT2536" i="1"/>
  <c r="Y2535" i="1"/>
  <c r="X2535" i="1"/>
  <c r="AX2535" i="1"/>
  <c r="AW2535" i="1"/>
  <c r="AV2535" i="1"/>
  <c r="AU2535" i="1"/>
  <c r="AT2535" i="1"/>
  <c r="Y2534" i="1"/>
  <c r="X2534" i="1"/>
  <c r="AX2534" i="1"/>
  <c r="AW2534" i="1"/>
  <c r="AV2534" i="1"/>
  <c r="AU2534" i="1"/>
  <c r="AT2534" i="1"/>
  <c r="Y2533" i="1"/>
  <c r="X2533" i="1"/>
  <c r="AX2533" i="1"/>
  <c r="AW2533" i="1"/>
  <c r="AV2533" i="1"/>
  <c r="AU2533" i="1"/>
  <c r="AT2533" i="1"/>
  <c r="Y2532" i="1"/>
  <c r="X2532" i="1"/>
  <c r="AX2532" i="1"/>
  <c r="AW2532" i="1"/>
  <c r="AV2532" i="1"/>
  <c r="AU2532" i="1"/>
  <c r="AT2532" i="1"/>
  <c r="Y2531" i="1"/>
  <c r="X2531" i="1"/>
  <c r="AX2531" i="1"/>
  <c r="AW2531" i="1"/>
  <c r="AV2531" i="1"/>
  <c r="AU2531" i="1"/>
  <c r="AT2531" i="1"/>
  <c r="Y2530" i="1"/>
  <c r="X2530" i="1"/>
  <c r="AX2530" i="1"/>
  <c r="AW2530" i="1"/>
  <c r="AV2530" i="1"/>
  <c r="AU2530" i="1"/>
  <c r="AT2530" i="1"/>
  <c r="Y2529" i="1"/>
  <c r="X2529" i="1"/>
  <c r="AX2529" i="1"/>
  <c r="AW2529" i="1"/>
  <c r="AV2529" i="1"/>
  <c r="AU2529" i="1"/>
  <c r="AT2529" i="1"/>
  <c r="Y2528" i="1"/>
  <c r="X2528" i="1"/>
  <c r="AX2528" i="1"/>
  <c r="AW2528" i="1"/>
  <c r="AV2528" i="1"/>
  <c r="AU2528" i="1"/>
  <c r="AT2528" i="1"/>
  <c r="Y2527" i="1"/>
  <c r="X2527" i="1"/>
  <c r="AX2527" i="1"/>
  <c r="AW2527" i="1"/>
  <c r="AV2527" i="1"/>
  <c r="AU2527" i="1"/>
  <c r="AT2527" i="1"/>
  <c r="Y2526" i="1"/>
  <c r="X2526" i="1"/>
  <c r="AX2526" i="1"/>
  <c r="AW2526" i="1"/>
  <c r="AV2526" i="1"/>
  <c r="AU2526" i="1"/>
  <c r="AT2526" i="1"/>
  <c r="Y2525" i="1"/>
  <c r="X2525" i="1"/>
  <c r="AX2525" i="1"/>
  <c r="AW2525" i="1"/>
  <c r="AV2525" i="1"/>
  <c r="AU2525" i="1"/>
  <c r="AT2525" i="1"/>
  <c r="Y2524" i="1"/>
  <c r="X2524" i="1"/>
  <c r="AX2524" i="1"/>
  <c r="AW2524" i="1"/>
  <c r="AV2524" i="1"/>
  <c r="AU2524" i="1"/>
  <c r="AT2524" i="1"/>
  <c r="Y2523" i="1"/>
  <c r="X2523" i="1"/>
  <c r="AX2523" i="1"/>
  <c r="AW2523" i="1"/>
  <c r="AV2523" i="1"/>
  <c r="AU2523" i="1"/>
  <c r="AT2523" i="1"/>
  <c r="Y2522" i="1"/>
  <c r="X2522" i="1"/>
  <c r="AX2522" i="1"/>
  <c r="AW2522" i="1"/>
  <c r="AV2522" i="1"/>
  <c r="AU2522" i="1"/>
  <c r="AT2522" i="1"/>
  <c r="Y2521" i="1"/>
  <c r="X2521" i="1"/>
  <c r="AX2521" i="1"/>
  <c r="AW2521" i="1"/>
  <c r="AV2521" i="1"/>
  <c r="AU2521" i="1"/>
  <c r="AT2521" i="1"/>
  <c r="Y2520" i="1"/>
  <c r="X2520" i="1"/>
  <c r="AX2520" i="1"/>
  <c r="AW2520" i="1"/>
  <c r="AV2520" i="1"/>
  <c r="AU2520" i="1"/>
  <c r="AT2520" i="1"/>
  <c r="Y2519" i="1"/>
  <c r="X2519" i="1"/>
  <c r="AX2519" i="1"/>
  <c r="AW2519" i="1"/>
  <c r="AV2519" i="1"/>
  <c r="AU2519" i="1"/>
  <c r="AT2519" i="1"/>
  <c r="Y2518" i="1"/>
  <c r="X2518" i="1"/>
  <c r="AX2518" i="1"/>
  <c r="AW2518" i="1"/>
  <c r="AV2518" i="1"/>
  <c r="AU2518" i="1"/>
  <c r="AT2518" i="1"/>
  <c r="Y2517" i="1"/>
  <c r="X2517" i="1"/>
  <c r="AX2517" i="1"/>
  <c r="AW2517" i="1"/>
  <c r="AV2517" i="1"/>
  <c r="AU2517" i="1"/>
  <c r="AT2517" i="1"/>
  <c r="Y2516" i="1"/>
  <c r="X2516" i="1"/>
  <c r="AX2516" i="1"/>
  <c r="AW2516" i="1"/>
  <c r="AV2516" i="1"/>
  <c r="AU2516" i="1"/>
  <c r="AT2516" i="1"/>
  <c r="Y2515" i="1"/>
  <c r="X2515" i="1"/>
  <c r="AX2515" i="1"/>
  <c r="AW2515" i="1"/>
  <c r="AV2515" i="1"/>
  <c r="AU2515" i="1"/>
  <c r="AT2515" i="1"/>
  <c r="Y2514" i="1"/>
  <c r="X2514" i="1"/>
  <c r="AX2514" i="1"/>
  <c r="AW2514" i="1"/>
  <c r="AV2514" i="1"/>
  <c r="AU2514" i="1"/>
  <c r="AT2514" i="1"/>
  <c r="Y2513" i="1"/>
  <c r="X2513" i="1"/>
  <c r="AX2513" i="1"/>
  <c r="AW2513" i="1"/>
  <c r="AV2513" i="1"/>
  <c r="AU2513" i="1"/>
  <c r="AT2513" i="1"/>
  <c r="Y2512" i="1"/>
  <c r="X2512" i="1"/>
  <c r="AX2512" i="1"/>
  <c r="AW2512" i="1"/>
  <c r="AV2512" i="1"/>
  <c r="AU2512" i="1"/>
  <c r="AT2512" i="1"/>
  <c r="Y2511" i="1"/>
  <c r="X2511" i="1"/>
  <c r="AX2511" i="1"/>
  <c r="AW2511" i="1"/>
  <c r="AV2511" i="1"/>
  <c r="AU2511" i="1"/>
  <c r="AT2511" i="1"/>
  <c r="Y2510" i="1"/>
  <c r="X2510" i="1"/>
  <c r="AX2510" i="1"/>
  <c r="AW2510" i="1"/>
  <c r="AV2510" i="1"/>
  <c r="AU2510" i="1"/>
  <c r="AT2510" i="1"/>
  <c r="Y2509" i="1"/>
  <c r="X2509" i="1"/>
  <c r="AX2509" i="1"/>
  <c r="AW2509" i="1"/>
  <c r="AV2509" i="1"/>
  <c r="AU2509" i="1"/>
  <c r="AT2509" i="1"/>
  <c r="Y2508" i="1"/>
  <c r="X2508" i="1"/>
  <c r="AX2508" i="1"/>
  <c r="AW2508" i="1"/>
  <c r="AV2508" i="1"/>
  <c r="AU2508" i="1"/>
  <c r="AT2508" i="1"/>
  <c r="Y2507" i="1"/>
  <c r="X2507" i="1"/>
  <c r="AX2507" i="1"/>
  <c r="AW2507" i="1"/>
  <c r="AV2507" i="1"/>
  <c r="AU2507" i="1"/>
  <c r="AT2507" i="1"/>
  <c r="Y2506" i="1"/>
  <c r="X2506" i="1"/>
  <c r="AX2506" i="1"/>
  <c r="AW2506" i="1"/>
  <c r="AV2506" i="1"/>
  <c r="AU2506" i="1"/>
  <c r="AT2506" i="1"/>
  <c r="Y2505" i="1"/>
  <c r="X2505" i="1"/>
  <c r="AX2505" i="1"/>
  <c r="AW2505" i="1"/>
  <c r="AV2505" i="1"/>
  <c r="AU2505" i="1"/>
  <c r="AT2505" i="1"/>
  <c r="Y2504" i="1"/>
  <c r="X2504" i="1"/>
  <c r="AX2504" i="1"/>
  <c r="AW2504" i="1"/>
  <c r="AV2504" i="1"/>
  <c r="AU2504" i="1"/>
  <c r="AT2504" i="1"/>
  <c r="Y2503" i="1"/>
  <c r="X2503" i="1"/>
  <c r="AX2503" i="1"/>
  <c r="AW2503" i="1"/>
  <c r="AV2503" i="1"/>
  <c r="AU2503" i="1"/>
  <c r="AT2503" i="1"/>
  <c r="Y2502" i="1"/>
  <c r="X2502" i="1"/>
  <c r="AX2502" i="1"/>
  <c r="AW2502" i="1"/>
  <c r="AV2502" i="1"/>
  <c r="AU2502" i="1"/>
  <c r="AT2502" i="1"/>
  <c r="Y2501" i="1"/>
  <c r="X2501" i="1"/>
  <c r="AX2501" i="1"/>
  <c r="AW2501" i="1"/>
  <c r="AV2501" i="1"/>
  <c r="AU2501" i="1"/>
  <c r="AT2501" i="1"/>
  <c r="Y2500" i="1"/>
  <c r="X2500" i="1"/>
  <c r="AX2500" i="1"/>
  <c r="AW2500" i="1"/>
  <c r="AV2500" i="1"/>
  <c r="AU2500" i="1"/>
  <c r="AT2500" i="1"/>
  <c r="Y2499" i="1"/>
  <c r="X2499" i="1"/>
  <c r="AX2499" i="1"/>
  <c r="AW2499" i="1"/>
  <c r="AV2499" i="1"/>
  <c r="AU2499" i="1"/>
  <c r="AT2499" i="1"/>
  <c r="Y2498" i="1"/>
  <c r="X2498" i="1"/>
  <c r="AX2498" i="1"/>
  <c r="AW2498" i="1"/>
  <c r="AV2498" i="1"/>
  <c r="AU2498" i="1"/>
  <c r="AT2498" i="1"/>
  <c r="Y2497" i="1"/>
  <c r="X2497" i="1"/>
  <c r="AX2497" i="1"/>
  <c r="AW2497" i="1"/>
  <c r="AV2497" i="1"/>
  <c r="AU2497" i="1"/>
  <c r="AT2497" i="1"/>
  <c r="Y2496" i="1"/>
  <c r="X2496" i="1"/>
  <c r="AX2496" i="1"/>
  <c r="AW2496" i="1"/>
  <c r="AV2496" i="1"/>
  <c r="AU2496" i="1"/>
  <c r="AT2496" i="1"/>
  <c r="Y2495" i="1"/>
  <c r="X2495" i="1"/>
  <c r="AX2495" i="1"/>
  <c r="AW2495" i="1"/>
  <c r="AV2495" i="1"/>
  <c r="AU2495" i="1"/>
  <c r="AT2495" i="1"/>
  <c r="Y2494" i="1"/>
  <c r="X2494" i="1"/>
  <c r="AX2494" i="1"/>
  <c r="AW2494" i="1"/>
  <c r="AV2494" i="1"/>
  <c r="AU2494" i="1"/>
  <c r="AT2494" i="1"/>
  <c r="AX2493" i="1"/>
  <c r="AW2493" i="1"/>
  <c r="AV2493" i="1"/>
  <c r="AU2493" i="1"/>
  <c r="AT2493" i="1"/>
  <c r="A14" i="1"/>
  <c r="Y2491" i="1"/>
  <c r="X2491" i="1"/>
  <c r="AX2491" i="1"/>
  <c r="AW2491" i="1"/>
  <c r="AV2491" i="1"/>
  <c r="AU2491" i="1"/>
  <c r="AT2491" i="1"/>
  <c r="Y2490" i="1"/>
  <c r="X2490" i="1"/>
  <c r="AX2490" i="1"/>
  <c r="AW2490" i="1"/>
  <c r="AV2490" i="1"/>
  <c r="AU2490" i="1"/>
  <c r="AT2490" i="1"/>
  <c r="Y2489" i="1"/>
  <c r="X2489" i="1"/>
  <c r="AX2489" i="1"/>
  <c r="AW2489" i="1"/>
  <c r="AV2489" i="1"/>
  <c r="AU2489" i="1"/>
  <c r="AT2489" i="1"/>
  <c r="Y2488" i="1"/>
  <c r="X2488" i="1"/>
  <c r="AX2488" i="1"/>
  <c r="AW2488" i="1"/>
  <c r="AV2488" i="1"/>
  <c r="AU2488" i="1"/>
  <c r="AT2488" i="1"/>
  <c r="Y2487" i="1"/>
  <c r="X2487" i="1"/>
  <c r="AX2487" i="1"/>
  <c r="AW2487" i="1"/>
  <c r="AV2487" i="1"/>
  <c r="AU2487" i="1"/>
  <c r="AT2487" i="1"/>
  <c r="Y2486" i="1"/>
  <c r="X2486" i="1"/>
  <c r="AX2486" i="1"/>
  <c r="AW2486" i="1"/>
  <c r="AV2486" i="1"/>
  <c r="AU2486" i="1"/>
  <c r="AT2486" i="1"/>
  <c r="Y2485" i="1"/>
  <c r="X2485" i="1"/>
  <c r="AX2485" i="1"/>
  <c r="AW2485" i="1"/>
  <c r="AV2485" i="1"/>
  <c r="AU2485" i="1"/>
  <c r="AT2485" i="1"/>
  <c r="Y2484" i="1"/>
  <c r="X2484" i="1"/>
  <c r="AX2484" i="1"/>
  <c r="AW2484" i="1"/>
  <c r="AV2484" i="1"/>
  <c r="AU2484" i="1"/>
  <c r="AT2484" i="1"/>
  <c r="Y2483" i="1"/>
  <c r="X2483" i="1"/>
  <c r="AX2483" i="1"/>
  <c r="AW2483" i="1"/>
  <c r="AV2483" i="1"/>
  <c r="AU2483" i="1"/>
  <c r="AT2483" i="1"/>
  <c r="Y2482" i="1"/>
  <c r="X2482" i="1"/>
  <c r="AX2482" i="1"/>
  <c r="AW2482" i="1"/>
  <c r="AV2482" i="1"/>
  <c r="AU2482" i="1"/>
  <c r="AT2482" i="1"/>
  <c r="Y2481" i="1"/>
  <c r="X2481" i="1"/>
  <c r="AX2481" i="1"/>
  <c r="AW2481" i="1"/>
  <c r="AV2481" i="1"/>
  <c r="AU2481" i="1"/>
  <c r="AT2481" i="1"/>
  <c r="Y2480" i="1"/>
  <c r="X2480" i="1"/>
  <c r="AX2480" i="1"/>
  <c r="AW2480" i="1"/>
  <c r="AV2480" i="1"/>
  <c r="AU2480" i="1"/>
  <c r="AT2480" i="1"/>
  <c r="Y2479" i="1"/>
  <c r="X2479" i="1"/>
  <c r="AX2479" i="1"/>
  <c r="AW2479" i="1"/>
  <c r="AV2479" i="1"/>
  <c r="AU2479" i="1"/>
  <c r="AT2479" i="1"/>
  <c r="Y2478" i="1"/>
  <c r="X2478" i="1"/>
  <c r="AX2478" i="1"/>
  <c r="AW2478" i="1"/>
  <c r="AV2478" i="1"/>
  <c r="AU2478" i="1"/>
  <c r="AT2478" i="1"/>
  <c r="Y2477" i="1"/>
  <c r="X2477" i="1"/>
  <c r="AX2477" i="1"/>
  <c r="AW2477" i="1"/>
  <c r="AV2477" i="1"/>
  <c r="AU2477" i="1"/>
  <c r="AT2477" i="1"/>
  <c r="Y2476" i="1"/>
  <c r="X2476" i="1"/>
  <c r="AX2476" i="1"/>
  <c r="AW2476" i="1"/>
  <c r="AV2476" i="1"/>
  <c r="AU2476" i="1"/>
  <c r="AT2476" i="1"/>
  <c r="Y2475" i="1"/>
  <c r="X2475" i="1"/>
  <c r="AX2475" i="1"/>
  <c r="AW2475" i="1"/>
  <c r="AV2475" i="1"/>
  <c r="AU2475" i="1"/>
  <c r="AT2475" i="1"/>
  <c r="Y2474" i="1"/>
  <c r="X2474" i="1"/>
  <c r="AX2474" i="1"/>
  <c r="AW2474" i="1"/>
  <c r="AV2474" i="1"/>
  <c r="AU2474" i="1"/>
  <c r="AT2474" i="1"/>
  <c r="Y2473" i="1"/>
  <c r="X2473" i="1"/>
  <c r="AX2473" i="1"/>
  <c r="AW2473" i="1"/>
  <c r="AV2473" i="1"/>
  <c r="AU2473" i="1"/>
  <c r="AT2473" i="1"/>
  <c r="Y2472" i="1"/>
  <c r="X2472" i="1"/>
  <c r="AX2472" i="1"/>
  <c r="AW2472" i="1"/>
  <c r="AV2472" i="1"/>
  <c r="AU2472" i="1"/>
  <c r="AT2472" i="1"/>
  <c r="Y2471" i="1"/>
  <c r="X2471" i="1"/>
  <c r="AX2471" i="1"/>
  <c r="AW2471" i="1"/>
  <c r="AV2471" i="1"/>
  <c r="AU2471" i="1"/>
  <c r="AT2471" i="1"/>
  <c r="Y2470" i="1"/>
  <c r="X2470" i="1"/>
  <c r="AX2470" i="1"/>
  <c r="AW2470" i="1"/>
  <c r="AV2470" i="1"/>
  <c r="AU2470" i="1"/>
  <c r="AT2470" i="1"/>
  <c r="Y2469" i="1"/>
  <c r="X2469" i="1"/>
  <c r="AX2469" i="1"/>
  <c r="AW2469" i="1"/>
  <c r="AV2469" i="1"/>
  <c r="AU2469" i="1"/>
  <c r="AT2469" i="1"/>
  <c r="Y2468" i="1"/>
  <c r="X2468" i="1"/>
  <c r="AX2468" i="1"/>
  <c r="AW2468" i="1"/>
  <c r="AV2468" i="1"/>
  <c r="AU2468" i="1"/>
  <c r="AT2468" i="1"/>
  <c r="Y2467" i="1"/>
  <c r="X2467" i="1"/>
  <c r="AX2467" i="1"/>
  <c r="AW2467" i="1"/>
  <c r="AV2467" i="1"/>
  <c r="AU2467" i="1"/>
  <c r="AT2467" i="1"/>
  <c r="Y2466" i="1"/>
  <c r="X2466" i="1"/>
  <c r="AX2466" i="1"/>
  <c r="AW2466" i="1"/>
  <c r="AV2466" i="1"/>
  <c r="AU2466" i="1"/>
  <c r="AT2466" i="1"/>
  <c r="Y2465" i="1"/>
  <c r="X2465" i="1"/>
  <c r="AX2465" i="1"/>
  <c r="AW2465" i="1"/>
  <c r="AV2465" i="1"/>
  <c r="AU2465" i="1"/>
  <c r="AT2465" i="1"/>
  <c r="Y2464" i="1"/>
  <c r="X2464" i="1"/>
  <c r="AX2464" i="1"/>
  <c r="AW2464" i="1"/>
  <c r="AV2464" i="1"/>
  <c r="AU2464" i="1"/>
  <c r="AT2464" i="1"/>
  <c r="Y2463" i="1"/>
  <c r="X2463" i="1"/>
  <c r="AX2463" i="1"/>
  <c r="AW2463" i="1"/>
  <c r="AV2463" i="1"/>
  <c r="AU2463" i="1"/>
  <c r="AT2463" i="1"/>
  <c r="Y2462" i="1"/>
  <c r="X2462" i="1"/>
  <c r="AX2462" i="1"/>
  <c r="AW2462" i="1"/>
  <c r="AV2462" i="1"/>
  <c r="AU2462" i="1"/>
  <c r="AT2462" i="1"/>
  <c r="Y2461" i="1"/>
  <c r="X2461" i="1"/>
  <c r="AX2461" i="1"/>
  <c r="AW2461" i="1"/>
  <c r="AV2461" i="1"/>
  <c r="AU2461" i="1"/>
  <c r="AT2461" i="1"/>
  <c r="Y2460" i="1"/>
  <c r="X2460" i="1"/>
  <c r="AX2460" i="1"/>
  <c r="AW2460" i="1"/>
  <c r="AV2460" i="1"/>
  <c r="AU2460" i="1"/>
  <c r="AT2460" i="1"/>
  <c r="Y2459" i="1"/>
  <c r="X2459" i="1"/>
  <c r="AX2459" i="1"/>
  <c r="AW2459" i="1"/>
  <c r="AV2459" i="1"/>
  <c r="AU2459" i="1"/>
  <c r="AT2459" i="1"/>
  <c r="Y2458" i="1"/>
  <c r="X2458" i="1"/>
  <c r="AX2458" i="1"/>
  <c r="AW2458" i="1"/>
  <c r="AV2458" i="1"/>
  <c r="AU2458" i="1"/>
  <c r="AT2458" i="1"/>
  <c r="Y2457" i="1"/>
  <c r="X2457" i="1"/>
  <c r="AX2457" i="1"/>
  <c r="AW2457" i="1"/>
  <c r="AV2457" i="1"/>
  <c r="AU2457" i="1"/>
  <c r="AT2457" i="1"/>
  <c r="Y2456" i="1"/>
  <c r="X2456" i="1"/>
  <c r="AX2456" i="1"/>
  <c r="AW2456" i="1"/>
  <c r="AV2456" i="1"/>
  <c r="AU2456" i="1"/>
  <c r="AT2456" i="1"/>
  <c r="Y2455" i="1"/>
  <c r="X2455" i="1"/>
  <c r="AX2455" i="1"/>
  <c r="AW2455" i="1"/>
  <c r="AV2455" i="1"/>
  <c r="AU2455" i="1"/>
  <c r="AT2455" i="1"/>
  <c r="Y2454" i="1"/>
  <c r="X2454" i="1"/>
  <c r="AX2454" i="1"/>
  <c r="AW2454" i="1"/>
  <c r="AV2454" i="1"/>
  <c r="AU2454" i="1"/>
  <c r="AT2454" i="1"/>
  <c r="Y2453" i="1"/>
  <c r="X2453" i="1"/>
  <c r="AX2453" i="1"/>
  <c r="AW2453" i="1"/>
  <c r="AV2453" i="1"/>
  <c r="AU2453" i="1"/>
  <c r="AT2453" i="1"/>
  <c r="Y2452" i="1"/>
  <c r="X2452" i="1"/>
  <c r="AX2452" i="1"/>
  <c r="AW2452" i="1"/>
  <c r="AV2452" i="1"/>
  <c r="AU2452" i="1"/>
  <c r="AT2452" i="1"/>
  <c r="Y2451" i="1"/>
  <c r="X2451" i="1"/>
  <c r="AX2451" i="1"/>
  <c r="AW2451" i="1"/>
  <c r="AV2451" i="1"/>
  <c r="AU2451" i="1"/>
  <c r="AT2451" i="1"/>
  <c r="Y2450" i="1"/>
  <c r="X2450" i="1"/>
  <c r="AX2450" i="1"/>
  <c r="AW2450" i="1"/>
  <c r="AV2450" i="1"/>
  <c r="AU2450" i="1"/>
  <c r="AT2450" i="1"/>
  <c r="Y2449" i="1"/>
  <c r="X2449" i="1"/>
  <c r="AX2449" i="1"/>
  <c r="AW2449" i="1"/>
  <c r="AV2449" i="1"/>
  <c r="AU2449" i="1"/>
  <c r="AT2449" i="1"/>
  <c r="Y2448" i="1"/>
  <c r="X2448" i="1"/>
  <c r="AX2448" i="1"/>
  <c r="AW2448" i="1"/>
  <c r="AV2448" i="1"/>
  <c r="AU2448" i="1"/>
  <c r="AT2448" i="1"/>
  <c r="Y2447" i="1"/>
  <c r="X2447" i="1"/>
  <c r="AX2447" i="1"/>
  <c r="AW2447" i="1"/>
  <c r="AV2447" i="1"/>
  <c r="AU2447" i="1"/>
  <c r="AT2447" i="1"/>
  <c r="Y2446" i="1"/>
  <c r="X2446" i="1"/>
  <c r="AX2446" i="1"/>
  <c r="AW2446" i="1"/>
  <c r="AV2446" i="1"/>
  <c r="AU2446" i="1"/>
  <c r="AT2446" i="1"/>
  <c r="Y2445" i="1"/>
  <c r="X2445" i="1"/>
  <c r="AX2445" i="1"/>
  <c r="AW2445" i="1"/>
  <c r="AV2445" i="1"/>
  <c r="AU2445" i="1"/>
  <c r="AT2445" i="1"/>
  <c r="Y2444" i="1"/>
  <c r="X2444" i="1"/>
  <c r="AX2444" i="1"/>
  <c r="AW2444" i="1"/>
  <c r="AV2444" i="1"/>
  <c r="AU2444" i="1"/>
  <c r="AT2444" i="1"/>
  <c r="Y2443" i="1"/>
  <c r="X2443" i="1"/>
  <c r="AX2443" i="1"/>
  <c r="AW2443" i="1"/>
  <c r="AV2443" i="1"/>
  <c r="AU2443" i="1"/>
  <c r="AT2443" i="1"/>
  <c r="Y2442" i="1"/>
  <c r="X2442" i="1"/>
  <c r="AX2442" i="1"/>
  <c r="AW2442" i="1"/>
  <c r="AV2442" i="1"/>
  <c r="AU2442" i="1"/>
  <c r="AT2442" i="1"/>
  <c r="Y2441" i="1"/>
  <c r="X2441" i="1"/>
  <c r="AX2441" i="1"/>
  <c r="AW2441" i="1"/>
  <c r="AV2441" i="1"/>
  <c r="AU2441" i="1"/>
  <c r="AT2441" i="1"/>
  <c r="Y2440" i="1"/>
  <c r="X2440" i="1"/>
  <c r="AX2440" i="1"/>
  <c r="AW2440" i="1"/>
  <c r="AV2440" i="1"/>
  <c r="AU2440" i="1"/>
  <c r="AT2440" i="1"/>
  <c r="Y2439" i="1"/>
  <c r="X2439" i="1"/>
  <c r="AX2439" i="1"/>
  <c r="AW2439" i="1"/>
  <c r="AV2439" i="1"/>
  <c r="AU2439" i="1"/>
  <c r="AT2439" i="1"/>
  <c r="Y2438" i="1"/>
  <c r="X2438" i="1"/>
  <c r="AX2438" i="1"/>
  <c r="AW2438" i="1"/>
  <c r="AV2438" i="1"/>
  <c r="AU2438" i="1"/>
  <c r="AT2438" i="1"/>
  <c r="Y2437" i="1"/>
  <c r="X2437" i="1"/>
  <c r="AX2437" i="1"/>
  <c r="AW2437" i="1"/>
  <c r="AV2437" i="1"/>
  <c r="AU2437" i="1"/>
  <c r="AT2437" i="1"/>
  <c r="Y2435" i="1"/>
  <c r="X2435" i="1"/>
  <c r="AX2435" i="1"/>
  <c r="AW2435" i="1"/>
  <c r="AV2435" i="1"/>
  <c r="AU2435" i="1"/>
  <c r="AT2435" i="1"/>
  <c r="Y2434" i="1"/>
  <c r="X2434" i="1"/>
  <c r="AX2434" i="1"/>
  <c r="AW2434" i="1"/>
  <c r="AV2434" i="1"/>
  <c r="AU2434" i="1"/>
  <c r="AT2434" i="1"/>
  <c r="Y2433" i="1"/>
  <c r="X2433" i="1"/>
  <c r="AX2433" i="1"/>
  <c r="AW2433" i="1"/>
  <c r="AV2433" i="1"/>
  <c r="AU2433" i="1"/>
  <c r="AT2433" i="1"/>
  <c r="Y2432" i="1"/>
  <c r="X2432" i="1"/>
  <c r="AX2432" i="1"/>
  <c r="AW2432" i="1"/>
  <c r="AV2432" i="1"/>
  <c r="AU2432" i="1"/>
  <c r="AT2432" i="1"/>
  <c r="Y2431" i="1"/>
  <c r="X2431" i="1"/>
  <c r="AX2431" i="1"/>
  <c r="AW2431" i="1"/>
  <c r="AV2431" i="1"/>
  <c r="AU2431" i="1"/>
  <c r="AT2431" i="1"/>
  <c r="Y2430" i="1"/>
  <c r="X2430" i="1"/>
  <c r="AX2430" i="1"/>
  <c r="AW2430" i="1"/>
  <c r="AV2430" i="1"/>
  <c r="AU2430" i="1"/>
  <c r="AT2430" i="1"/>
  <c r="Y2429" i="1"/>
  <c r="X2429" i="1"/>
  <c r="AX2429" i="1"/>
  <c r="AW2429" i="1"/>
  <c r="AV2429" i="1"/>
  <c r="AU2429" i="1"/>
  <c r="AT2429" i="1"/>
  <c r="Y2428" i="1"/>
  <c r="X2428" i="1"/>
  <c r="AX2428" i="1"/>
  <c r="AW2428" i="1"/>
  <c r="AV2428" i="1"/>
  <c r="AU2428" i="1"/>
  <c r="AT2428" i="1"/>
  <c r="Y2427" i="1"/>
  <c r="X2427" i="1"/>
  <c r="AX2427" i="1"/>
  <c r="AW2427" i="1"/>
  <c r="AV2427" i="1"/>
  <c r="AU2427" i="1"/>
  <c r="AT2427" i="1"/>
  <c r="Y2426" i="1"/>
  <c r="X2426" i="1"/>
  <c r="AX2426" i="1"/>
  <c r="AW2426" i="1"/>
  <c r="AV2426" i="1"/>
  <c r="AU2426" i="1"/>
  <c r="AT2426" i="1"/>
  <c r="Y2425" i="1"/>
  <c r="X2425" i="1"/>
  <c r="AX2425" i="1"/>
  <c r="AW2425" i="1"/>
  <c r="AV2425" i="1"/>
  <c r="AU2425" i="1"/>
  <c r="AT2425" i="1"/>
  <c r="Y2424" i="1"/>
  <c r="X2424" i="1"/>
  <c r="AX2424" i="1"/>
  <c r="AW2424" i="1"/>
  <c r="AV2424" i="1"/>
  <c r="AU2424" i="1"/>
  <c r="AT2424" i="1"/>
  <c r="Y2423" i="1"/>
  <c r="X2423" i="1"/>
  <c r="AX2423" i="1"/>
  <c r="AW2423" i="1"/>
  <c r="AV2423" i="1"/>
  <c r="AU2423" i="1"/>
  <c r="AT2423" i="1"/>
  <c r="Y2422" i="1"/>
  <c r="X2422" i="1"/>
  <c r="AX2422" i="1"/>
  <c r="AW2422" i="1"/>
  <c r="AV2422" i="1"/>
  <c r="AU2422" i="1"/>
  <c r="AT2422" i="1"/>
  <c r="Y2421" i="1"/>
  <c r="X2421" i="1"/>
  <c r="AX2421" i="1"/>
  <c r="AW2421" i="1"/>
  <c r="AV2421" i="1"/>
  <c r="AU2421" i="1"/>
  <c r="AT2421" i="1"/>
  <c r="Y2420" i="1"/>
  <c r="X2420" i="1"/>
  <c r="AX2420" i="1"/>
  <c r="AW2420" i="1"/>
  <c r="AV2420" i="1"/>
  <c r="AU2420" i="1"/>
  <c r="AT2420" i="1"/>
  <c r="Y2419" i="1"/>
  <c r="X2419" i="1"/>
  <c r="AX2419" i="1"/>
  <c r="AW2419" i="1"/>
  <c r="AV2419" i="1"/>
  <c r="AU2419" i="1"/>
  <c r="AT2419" i="1"/>
  <c r="Y2418" i="1"/>
  <c r="X2418" i="1"/>
  <c r="AX2418" i="1"/>
  <c r="AW2418" i="1"/>
  <c r="AV2418" i="1"/>
  <c r="AU2418" i="1"/>
  <c r="AT2418" i="1"/>
  <c r="Y2417" i="1"/>
  <c r="X2417" i="1"/>
  <c r="AX2417" i="1"/>
  <c r="AW2417" i="1"/>
  <c r="AV2417" i="1"/>
  <c r="AU2417" i="1"/>
  <c r="AT2417" i="1"/>
  <c r="Y2416" i="1"/>
  <c r="X2416" i="1"/>
  <c r="AX2416" i="1"/>
  <c r="AW2416" i="1"/>
  <c r="AV2416" i="1"/>
  <c r="AU2416" i="1"/>
  <c r="AT2416" i="1"/>
  <c r="Y2414" i="1"/>
  <c r="X2414" i="1"/>
  <c r="AX2414" i="1"/>
  <c r="AW2414" i="1"/>
  <c r="AV2414" i="1"/>
  <c r="AU2414" i="1"/>
  <c r="AT2414" i="1"/>
  <c r="Y2413" i="1"/>
  <c r="X2413" i="1"/>
  <c r="AX2413" i="1"/>
  <c r="AW2413" i="1"/>
  <c r="AV2413" i="1"/>
  <c r="AU2413" i="1"/>
  <c r="AT2413" i="1"/>
  <c r="Y2412" i="1"/>
  <c r="X2412" i="1"/>
  <c r="AX2412" i="1"/>
  <c r="AW2412" i="1"/>
  <c r="AV2412" i="1"/>
  <c r="AU2412" i="1"/>
  <c r="AT2412" i="1"/>
  <c r="Y2411" i="1"/>
  <c r="X2411" i="1"/>
  <c r="AX2411" i="1"/>
  <c r="AW2411" i="1"/>
  <c r="AV2411" i="1"/>
  <c r="AU2411" i="1"/>
  <c r="AT2411" i="1"/>
  <c r="Y2410" i="1"/>
  <c r="X2410" i="1"/>
  <c r="AX2410" i="1"/>
  <c r="AW2410" i="1"/>
  <c r="AV2410" i="1"/>
  <c r="AU2410" i="1"/>
  <c r="AT2410" i="1"/>
  <c r="Y2408" i="1"/>
  <c r="X2408" i="1"/>
  <c r="AX2408" i="1"/>
  <c r="AW2408" i="1"/>
  <c r="AV2408" i="1"/>
  <c r="AU2408" i="1"/>
  <c r="AT2408" i="1"/>
  <c r="Y2407" i="1"/>
  <c r="X2407" i="1"/>
  <c r="AX2407" i="1"/>
  <c r="AW2407" i="1"/>
  <c r="AV2407" i="1"/>
  <c r="AU2407" i="1"/>
  <c r="AT2407" i="1"/>
  <c r="Y2406" i="1"/>
  <c r="X2406" i="1"/>
  <c r="AX2406" i="1"/>
  <c r="AW2406" i="1"/>
  <c r="AV2406" i="1"/>
  <c r="AU2406" i="1"/>
  <c r="AT2406" i="1"/>
  <c r="Y2405" i="1"/>
  <c r="X2405" i="1"/>
  <c r="AX2405" i="1"/>
  <c r="AW2405" i="1"/>
  <c r="AV2405" i="1"/>
  <c r="AU2405" i="1"/>
  <c r="AT2405" i="1"/>
  <c r="Y2404" i="1"/>
  <c r="X2404" i="1"/>
  <c r="AX2404" i="1"/>
  <c r="AW2404" i="1"/>
  <c r="AV2404" i="1"/>
  <c r="AU2404" i="1"/>
  <c r="AT2404" i="1"/>
  <c r="Y2403" i="1"/>
  <c r="X2403" i="1"/>
  <c r="AX2403" i="1"/>
  <c r="AW2403" i="1"/>
  <c r="AV2403" i="1"/>
  <c r="AU2403" i="1"/>
  <c r="AT2403" i="1"/>
  <c r="Y2402" i="1"/>
  <c r="X2402" i="1"/>
  <c r="AX2402" i="1"/>
  <c r="AW2402" i="1"/>
  <c r="AV2402" i="1"/>
  <c r="AU2402" i="1"/>
  <c r="AT2402" i="1"/>
  <c r="Y2401" i="1"/>
  <c r="X2401" i="1"/>
  <c r="AX2401" i="1"/>
  <c r="AW2401" i="1"/>
  <c r="AV2401" i="1"/>
  <c r="AU2401" i="1"/>
  <c r="AT2401" i="1"/>
  <c r="Y2400" i="1"/>
  <c r="X2400" i="1"/>
  <c r="AX2400" i="1"/>
  <c r="AW2400" i="1"/>
  <c r="AV2400" i="1"/>
  <c r="AU2400" i="1"/>
  <c r="AT2400" i="1"/>
  <c r="Y2399" i="1"/>
  <c r="X2399" i="1"/>
  <c r="AX2399" i="1"/>
  <c r="AW2399" i="1"/>
  <c r="AV2399" i="1"/>
  <c r="AU2399" i="1"/>
  <c r="AT2399" i="1"/>
  <c r="Y2398" i="1"/>
  <c r="X2398" i="1"/>
  <c r="AX2398" i="1"/>
  <c r="AW2398" i="1"/>
  <c r="AV2398" i="1"/>
  <c r="AU2398" i="1"/>
  <c r="AT2398" i="1"/>
  <c r="Y2397" i="1"/>
  <c r="X2397" i="1"/>
  <c r="AX2397" i="1"/>
  <c r="AW2397" i="1"/>
  <c r="AV2397" i="1"/>
  <c r="AU2397" i="1"/>
  <c r="AT2397" i="1"/>
  <c r="Y2396" i="1"/>
  <c r="X2396" i="1"/>
  <c r="AX2396" i="1"/>
  <c r="AW2396" i="1"/>
  <c r="AV2396" i="1"/>
  <c r="AU2396" i="1"/>
  <c r="AT2396" i="1"/>
  <c r="Y2395" i="1"/>
  <c r="X2395" i="1"/>
  <c r="AX2395" i="1"/>
  <c r="AW2395" i="1"/>
  <c r="AV2395" i="1"/>
  <c r="AU2395" i="1"/>
  <c r="AT2395" i="1"/>
  <c r="Y2394" i="1"/>
  <c r="X2394" i="1"/>
  <c r="AX2394" i="1"/>
  <c r="AW2394" i="1"/>
  <c r="AV2394" i="1"/>
  <c r="AU2394" i="1"/>
  <c r="AT2394" i="1"/>
  <c r="Y2393" i="1"/>
  <c r="X2393" i="1"/>
  <c r="AX2393" i="1"/>
  <c r="AW2393" i="1"/>
  <c r="AV2393" i="1"/>
  <c r="AU2393" i="1"/>
  <c r="AT2393" i="1"/>
  <c r="Y2392" i="1"/>
  <c r="X2392" i="1"/>
  <c r="AX2392" i="1"/>
  <c r="AW2392" i="1"/>
  <c r="AV2392" i="1"/>
  <c r="AU2392" i="1"/>
  <c r="AT2392" i="1"/>
  <c r="Y2391" i="1"/>
  <c r="X2391" i="1"/>
  <c r="AX2391" i="1"/>
  <c r="AW2391" i="1"/>
  <c r="AV2391" i="1"/>
  <c r="AU2391" i="1"/>
  <c r="AT2391" i="1"/>
  <c r="Y2390" i="1"/>
  <c r="X2390" i="1"/>
  <c r="AX2390" i="1"/>
  <c r="AW2390" i="1"/>
  <c r="AV2390" i="1"/>
  <c r="AU2390" i="1"/>
  <c r="AT2390" i="1"/>
  <c r="Y2389" i="1"/>
  <c r="X2389" i="1"/>
  <c r="AX2389" i="1"/>
  <c r="AW2389" i="1"/>
  <c r="AV2389" i="1"/>
  <c r="AU2389" i="1"/>
  <c r="AT2389" i="1"/>
  <c r="Y2388" i="1"/>
  <c r="X2388" i="1"/>
  <c r="AX2388" i="1"/>
  <c r="AW2388" i="1"/>
  <c r="AV2388" i="1"/>
  <c r="AU2388" i="1"/>
  <c r="AT2388" i="1"/>
  <c r="Y2387" i="1"/>
  <c r="X2387" i="1"/>
  <c r="AX2387" i="1"/>
  <c r="AW2387" i="1"/>
  <c r="AV2387" i="1"/>
  <c r="AU2387" i="1"/>
  <c r="AT2387" i="1"/>
  <c r="Y2386" i="1"/>
  <c r="X2386" i="1"/>
  <c r="AX2386" i="1"/>
  <c r="AW2386" i="1"/>
  <c r="AV2386" i="1"/>
  <c r="AU2386" i="1"/>
  <c r="AT2386" i="1"/>
  <c r="Y2385" i="1"/>
  <c r="X2385" i="1"/>
  <c r="AX2385" i="1"/>
  <c r="AW2385" i="1"/>
  <c r="AV2385" i="1"/>
  <c r="AU2385" i="1"/>
  <c r="AT2385" i="1"/>
  <c r="Y2384" i="1"/>
  <c r="X2384" i="1"/>
  <c r="AX2384" i="1"/>
  <c r="AW2384" i="1"/>
  <c r="AV2384" i="1"/>
  <c r="AU2384" i="1"/>
  <c r="AT2384" i="1"/>
  <c r="Y2383" i="1"/>
  <c r="X2383" i="1"/>
  <c r="AX2383" i="1"/>
  <c r="AW2383" i="1"/>
  <c r="AV2383" i="1"/>
  <c r="AU2383" i="1"/>
  <c r="AT2383" i="1"/>
  <c r="Y2382" i="1"/>
  <c r="X2382" i="1"/>
  <c r="AX2382" i="1"/>
  <c r="AW2382" i="1"/>
  <c r="AV2382" i="1"/>
  <c r="AU2382" i="1"/>
  <c r="AT2382" i="1"/>
  <c r="Y2381" i="1"/>
  <c r="X2381" i="1"/>
  <c r="AX2381" i="1"/>
  <c r="AW2381" i="1"/>
  <c r="AV2381" i="1"/>
  <c r="AU2381" i="1"/>
  <c r="AT2381" i="1"/>
  <c r="Y2380" i="1"/>
  <c r="X2380" i="1"/>
  <c r="AX2380" i="1"/>
  <c r="AW2380" i="1"/>
  <c r="AV2380" i="1"/>
  <c r="AU2380" i="1"/>
  <c r="AT2380" i="1"/>
  <c r="Y2378" i="1"/>
  <c r="X2378" i="1"/>
  <c r="AX2378" i="1"/>
  <c r="AW2378" i="1"/>
  <c r="AV2378" i="1"/>
  <c r="AU2378" i="1"/>
  <c r="AT2378" i="1"/>
  <c r="Y2377" i="1"/>
  <c r="X2377" i="1"/>
  <c r="AX2377" i="1"/>
  <c r="AW2377" i="1"/>
  <c r="AV2377" i="1"/>
  <c r="AU2377" i="1"/>
  <c r="AT2377" i="1"/>
  <c r="Y2376" i="1"/>
  <c r="X2376" i="1"/>
  <c r="AX2376" i="1"/>
  <c r="AW2376" i="1"/>
  <c r="AV2376" i="1"/>
  <c r="AU2376" i="1"/>
  <c r="AT2376" i="1"/>
  <c r="Y2375" i="1"/>
  <c r="X2375" i="1"/>
  <c r="AX2375" i="1"/>
  <c r="AW2375" i="1"/>
  <c r="AV2375" i="1"/>
  <c r="AU2375" i="1"/>
  <c r="AT2375" i="1"/>
  <c r="Y2373" i="1"/>
  <c r="X2373" i="1"/>
  <c r="AX2373" i="1"/>
  <c r="AW2373" i="1"/>
  <c r="AV2373" i="1"/>
  <c r="AU2373" i="1"/>
  <c r="AT2373" i="1"/>
  <c r="Y2372" i="1"/>
  <c r="X2372" i="1"/>
  <c r="AX2372" i="1"/>
  <c r="AW2372" i="1"/>
  <c r="AV2372" i="1"/>
  <c r="AU2372" i="1"/>
  <c r="AT2372" i="1"/>
  <c r="Y2371" i="1"/>
  <c r="X2371" i="1"/>
  <c r="AX2371" i="1"/>
  <c r="AW2371" i="1"/>
  <c r="AV2371" i="1"/>
  <c r="AU2371" i="1"/>
  <c r="AT2371" i="1"/>
  <c r="Y2370" i="1"/>
  <c r="X2370" i="1"/>
  <c r="AX2370" i="1"/>
  <c r="AW2370" i="1"/>
  <c r="AV2370" i="1"/>
  <c r="AU2370" i="1"/>
  <c r="AT2370" i="1"/>
  <c r="Y2369" i="1"/>
  <c r="X2369" i="1"/>
  <c r="AX2369" i="1"/>
  <c r="AW2369" i="1"/>
  <c r="AV2369" i="1"/>
  <c r="AU2369" i="1"/>
  <c r="AT2369" i="1"/>
  <c r="Y2368" i="1"/>
  <c r="X2368" i="1"/>
  <c r="AX2368" i="1"/>
  <c r="AW2368" i="1"/>
  <c r="AV2368" i="1"/>
  <c r="AU2368" i="1"/>
  <c r="AT2368" i="1"/>
  <c r="Y2367" i="1"/>
  <c r="X2367" i="1"/>
  <c r="AX2367" i="1"/>
  <c r="AW2367" i="1"/>
  <c r="AV2367" i="1"/>
  <c r="AU2367" i="1"/>
  <c r="AT2367" i="1"/>
  <c r="Y2366" i="1"/>
  <c r="X2366" i="1"/>
  <c r="AX2366" i="1"/>
  <c r="AW2366" i="1"/>
  <c r="AV2366" i="1"/>
  <c r="AU2366" i="1"/>
  <c r="AT2366" i="1"/>
  <c r="Y2365" i="1"/>
  <c r="X2365" i="1"/>
  <c r="AX2365" i="1"/>
  <c r="AW2365" i="1"/>
  <c r="AV2365" i="1"/>
  <c r="AU2365" i="1"/>
  <c r="AT2365" i="1"/>
  <c r="Y2364" i="1"/>
  <c r="X2364" i="1"/>
  <c r="AX2364" i="1"/>
  <c r="AW2364" i="1"/>
  <c r="AV2364" i="1"/>
  <c r="AU2364" i="1"/>
  <c r="AT2364" i="1"/>
  <c r="Y2363" i="1"/>
  <c r="X2363" i="1"/>
  <c r="AX2363" i="1"/>
  <c r="AW2363" i="1"/>
  <c r="AV2363" i="1"/>
  <c r="AU2363" i="1"/>
  <c r="AT2363" i="1"/>
  <c r="Y2362" i="1"/>
  <c r="X2362" i="1"/>
  <c r="AX2362" i="1"/>
  <c r="AW2362" i="1"/>
  <c r="AV2362" i="1"/>
  <c r="AU2362" i="1"/>
  <c r="AT2362" i="1"/>
  <c r="Y2361" i="1"/>
  <c r="X2361" i="1"/>
  <c r="AX2361" i="1"/>
  <c r="AW2361" i="1"/>
  <c r="AV2361" i="1"/>
  <c r="AU2361" i="1"/>
  <c r="AT2361" i="1"/>
  <c r="Y2360" i="1"/>
  <c r="X2360" i="1"/>
  <c r="AX2360" i="1"/>
  <c r="AW2360" i="1"/>
  <c r="AV2360" i="1"/>
  <c r="AU2360" i="1"/>
  <c r="AT2360" i="1"/>
  <c r="Y2359" i="1"/>
  <c r="X2359" i="1"/>
  <c r="AX2359" i="1"/>
  <c r="AW2359" i="1"/>
  <c r="AV2359" i="1"/>
  <c r="AU2359" i="1"/>
  <c r="AT2359" i="1"/>
  <c r="Y2358" i="1"/>
  <c r="X2358" i="1"/>
  <c r="AX2358" i="1"/>
  <c r="AW2358" i="1"/>
  <c r="AV2358" i="1"/>
  <c r="AU2358" i="1"/>
  <c r="AT2358" i="1"/>
  <c r="Y2357" i="1"/>
  <c r="X2357" i="1"/>
  <c r="AX2357" i="1"/>
  <c r="AW2357" i="1"/>
  <c r="AV2357" i="1"/>
  <c r="AU2357" i="1"/>
  <c r="AT2357" i="1"/>
  <c r="Y2356" i="1"/>
  <c r="X2356" i="1"/>
  <c r="AX2356" i="1"/>
  <c r="AW2356" i="1"/>
  <c r="AV2356" i="1"/>
  <c r="AU2356" i="1"/>
  <c r="AT2356" i="1"/>
  <c r="Y2355" i="1"/>
  <c r="X2355" i="1"/>
  <c r="AX2355" i="1"/>
  <c r="AW2355" i="1"/>
  <c r="AV2355" i="1"/>
  <c r="AU2355" i="1"/>
  <c r="AT2355" i="1"/>
  <c r="Y2354" i="1"/>
  <c r="X2354" i="1"/>
  <c r="AX2354" i="1"/>
  <c r="AW2354" i="1"/>
  <c r="AV2354" i="1"/>
  <c r="AU2354" i="1"/>
  <c r="AT2354" i="1"/>
  <c r="Y2353" i="1"/>
  <c r="X2353" i="1"/>
  <c r="AX2353" i="1"/>
  <c r="AW2353" i="1"/>
  <c r="AV2353" i="1"/>
  <c r="AU2353" i="1"/>
  <c r="AT2353" i="1"/>
  <c r="Y2352" i="1"/>
  <c r="X2352" i="1"/>
  <c r="AX2352" i="1"/>
  <c r="AW2352" i="1"/>
  <c r="AV2352" i="1"/>
  <c r="AU2352" i="1"/>
  <c r="AT2352" i="1"/>
  <c r="Y2351" i="1"/>
  <c r="X2351" i="1"/>
  <c r="AX2351" i="1"/>
  <c r="AW2351" i="1"/>
  <c r="AV2351" i="1"/>
  <c r="AU2351" i="1"/>
  <c r="AT2351" i="1"/>
  <c r="Y2350" i="1"/>
  <c r="X2350" i="1"/>
  <c r="AX2350" i="1"/>
  <c r="AW2350" i="1"/>
  <c r="AV2350" i="1"/>
  <c r="AU2350" i="1"/>
  <c r="AT2350" i="1"/>
  <c r="Y2349" i="1"/>
  <c r="X2349" i="1"/>
  <c r="AX2349" i="1"/>
  <c r="AW2349" i="1"/>
  <c r="AV2349" i="1"/>
  <c r="AU2349" i="1"/>
  <c r="AT2349" i="1"/>
  <c r="Y2348" i="1"/>
  <c r="X2348" i="1"/>
  <c r="AX2348" i="1"/>
  <c r="AW2348" i="1"/>
  <c r="AV2348" i="1"/>
  <c r="AU2348" i="1"/>
  <c r="AT2348" i="1"/>
  <c r="Y2347" i="1"/>
  <c r="X2347" i="1"/>
  <c r="AX2347" i="1"/>
  <c r="AW2347" i="1"/>
  <c r="AV2347" i="1"/>
  <c r="AU2347" i="1"/>
  <c r="AT2347" i="1"/>
  <c r="Y2346" i="1"/>
  <c r="X2346" i="1"/>
  <c r="AX2346" i="1"/>
  <c r="AW2346" i="1"/>
  <c r="AV2346" i="1"/>
  <c r="AU2346" i="1"/>
  <c r="AT2346" i="1"/>
  <c r="Y2345" i="1"/>
  <c r="X2345" i="1"/>
  <c r="AX2345" i="1"/>
  <c r="AW2345" i="1"/>
  <c r="AV2345" i="1"/>
  <c r="AU2345" i="1"/>
  <c r="AT2345" i="1"/>
  <c r="Y2344" i="1"/>
  <c r="X2344" i="1"/>
  <c r="AX2344" i="1"/>
  <c r="AW2344" i="1"/>
  <c r="AV2344" i="1"/>
  <c r="AU2344" i="1"/>
  <c r="AT2344" i="1"/>
  <c r="Y2343" i="1"/>
  <c r="X2343" i="1"/>
  <c r="AX2343" i="1"/>
  <c r="AW2343" i="1"/>
  <c r="AV2343" i="1"/>
  <c r="AU2343" i="1"/>
  <c r="AT2343" i="1"/>
  <c r="Y2342" i="1"/>
  <c r="X2342" i="1"/>
  <c r="AX2342" i="1"/>
  <c r="AW2342" i="1"/>
  <c r="AV2342" i="1"/>
  <c r="AU2342" i="1"/>
  <c r="AT2342" i="1"/>
  <c r="Y2341" i="1"/>
  <c r="X2341" i="1"/>
  <c r="AX2341" i="1"/>
  <c r="AW2341" i="1"/>
  <c r="AV2341" i="1"/>
  <c r="AU2341" i="1"/>
  <c r="AT2341" i="1"/>
  <c r="Y2340" i="1"/>
  <c r="X2340" i="1"/>
  <c r="AX2340" i="1"/>
  <c r="AW2340" i="1"/>
  <c r="AV2340" i="1"/>
  <c r="AU2340" i="1"/>
  <c r="AT2340" i="1"/>
  <c r="Y2339" i="1"/>
  <c r="X2339" i="1"/>
  <c r="AX2339" i="1"/>
  <c r="AW2339" i="1"/>
  <c r="AV2339" i="1"/>
  <c r="AU2339" i="1"/>
  <c r="AT2339" i="1"/>
  <c r="Y2338" i="1"/>
  <c r="X2338" i="1"/>
  <c r="AX2338" i="1"/>
  <c r="AW2338" i="1"/>
  <c r="AV2338" i="1"/>
  <c r="AU2338" i="1"/>
  <c r="AT2338" i="1"/>
  <c r="Y2337" i="1"/>
  <c r="X2337" i="1"/>
  <c r="AX2337" i="1"/>
  <c r="AW2337" i="1"/>
  <c r="AV2337" i="1"/>
  <c r="AU2337" i="1"/>
  <c r="AT2337" i="1"/>
  <c r="Y2336" i="1"/>
  <c r="X2336" i="1"/>
  <c r="AX2336" i="1"/>
  <c r="AW2336" i="1"/>
  <c r="AV2336" i="1"/>
  <c r="AU2336" i="1"/>
  <c r="AT2336" i="1"/>
  <c r="Y2335" i="1"/>
  <c r="X2335" i="1"/>
  <c r="AX2335" i="1"/>
  <c r="AW2335" i="1"/>
  <c r="AV2335" i="1"/>
  <c r="AU2335" i="1"/>
  <c r="AT2335" i="1"/>
  <c r="Y2334" i="1"/>
  <c r="X2334" i="1"/>
  <c r="AX2334" i="1"/>
  <c r="AW2334" i="1"/>
  <c r="AV2334" i="1"/>
  <c r="AU2334" i="1"/>
  <c r="AT2334" i="1"/>
  <c r="Y2333" i="1"/>
  <c r="X2333" i="1"/>
  <c r="AX2333" i="1"/>
  <c r="AW2333" i="1"/>
  <c r="AV2333" i="1"/>
  <c r="AU2333" i="1"/>
  <c r="AT2333" i="1"/>
  <c r="Y2332" i="1"/>
  <c r="X2332" i="1"/>
  <c r="AX2332" i="1"/>
  <c r="AW2332" i="1"/>
  <c r="AV2332" i="1"/>
  <c r="AU2332" i="1"/>
  <c r="AT2332" i="1"/>
  <c r="Y2331" i="1"/>
  <c r="X2331" i="1"/>
  <c r="AX2331" i="1"/>
  <c r="AW2331" i="1"/>
  <c r="AV2331" i="1"/>
  <c r="AU2331" i="1"/>
  <c r="AT2331" i="1"/>
  <c r="Y2330" i="1"/>
  <c r="X2330" i="1"/>
  <c r="AX2330" i="1"/>
  <c r="AW2330" i="1"/>
  <c r="AV2330" i="1"/>
  <c r="AU2330" i="1"/>
  <c r="AT2330" i="1"/>
  <c r="Y2329" i="1"/>
  <c r="X2329" i="1"/>
  <c r="AX2329" i="1"/>
  <c r="AW2329" i="1"/>
  <c r="AV2329" i="1"/>
  <c r="AU2329" i="1"/>
  <c r="AT2329" i="1"/>
  <c r="Y2328" i="1"/>
  <c r="X2328" i="1"/>
  <c r="AX2328" i="1"/>
  <c r="AW2328" i="1"/>
  <c r="AV2328" i="1"/>
  <c r="AU2328" i="1"/>
  <c r="AT2328" i="1"/>
  <c r="Y2327" i="1"/>
  <c r="X2327" i="1"/>
  <c r="AX2327" i="1"/>
  <c r="AW2327" i="1"/>
  <c r="AV2327" i="1"/>
  <c r="AU2327" i="1"/>
  <c r="AT2327" i="1"/>
  <c r="Y2326" i="1"/>
  <c r="X2326" i="1"/>
  <c r="AX2326" i="1"/>
  <c r="AW2326" i="1"/>
  <c r="AV2326" i="1"/>
  <c r="AU2326" i="1"/>
  <c r="AT2326" i="1"/>
  <c r="Y2325" i="1"/>
  <c r="X2325" i="1"/>
  <c r="AX2325" i="1"/>
  <c r="AW2325" i="1"/>
  <c r="AV2325" i="1"/>
  <c r="AU2325" i="1"/>
  <c r="AT2325" i="1"/>
  <c r="Y2324" i="1"/>
  <c r="X2324" i="1"/>
  <c r="AX2324" i="1"/>
  <c r="AW2324" i="1"/>
  <c r="AV2324" i="1"/>
  <c r="AU2324" i="1"/>
  <c r="AT2324" i="1"/>
  <c r="Y2323" i="1"/>
  <c r="X2323" i="1"/>
  <c r="AX2323" i="1"/>
  <c r="AW2323" i="1"/>
  <c r="AV2323" i="1"/>
  <c r="AU2323" i="1"/>
  <c r="AT2323" i="1"/>
  <c r="Y2322" i="1"/>
  <c r="X2322" i="1"/>
  <c r="AX2322" i="1"/>
  <c r="AW2322" i="1"/>
  <c r="AV2322" i="1"/>
  <c r="AU2322" i="1"/>
  <c r="AT2322" i="1"/>
  <c r="Y2321" i="1"/>
  <c r="X2321" i="1"/>
  <c r="AX2321" i="1"/>
  <c r="AW2321" i="1"/>
  <c r="AV2321" i="1"/>
  <c r="AU2321" i="1"/>
  <c r="AT2321" i="1"/>
  <c r="Y2320" i="1"/>
  <c r="X2320" i="1"/>
  <c r="AX2320" i="1"/>
  <c r="AW2320" i="1"/>
  <c r="AV2320" i="1"/>
  <c r="AU2320" i="1"/>
  <c r="AT2320" i="1"/>
  <c r="Y2319" i="1"/>
  <c r="X2319" i="1"/>
  <c r="AX2319" i="1"/>
  <c r="AW2319" i="1"/>
  <c r="AV2319" i="1"/>
  <c r="AU2319" i="1"/>
  <c r="AT2319" i="1"/>
  <c r="Y2318" i="1"/>
  <c r="X2318" i="1"/>
  <c r="AX2318" i="1"/>
  <c r="AW2318" i="1"/>
  <c r="AV2318" i="1"/>
  <c r="AU2318" i="1"/>
  <c r="AT2318" i="1"/>
  <c r="Y2317" i="1"/>
  <c r="X2317" i="1"/>
  <c r="AX2317" i="1"/>
  <c r="AW2317" i="1"/>
  <c r="AV2317" i="1"/>
  <c r="AU2317" i="1"/>
  <c r="AT2317" i="1"/>
  <c r="Y2316" i="1"/>
  <c r="X2316" i="1"/>
  <c r="AX2316" i="1"/>
  <c r="AW2316" i="1"/>
  <c r="AV2316" i="1"/>
  <c r="AU2316" i="1"/>
  <c r="AT2316" i="1"/>
  <c r="Y2315" i="1"/>
  <c r="X2315" i="1"/>
  <c r="AX2315" i="1"/>
  <c r="AW2315" i="1"/>
  <c r="AV2315" i="1"/>
  <c r="AU2315" i="1"/>
  <c r="AT2315" i="1"/>
  <c r="Y2314" i="1"/>
  <c r="X2314" i="1"/>
  <c r="AX2314" i="1"/>
  <c r="AW2314" i="1"/>
  <c r="AV2314" i="1"/>
  <c r="AU2314" i="1"/>
  <c r="AT2314" i="1"/>
  <c r="Y2313" i="1"/>
  <c r="X2313" i="1"/>
  <c r="AX2313" i="1"/>
  <c r="AW2313" i="1"/>
  <c r="AV2313" i="1"/>
  <c r="AU2313" i="1"/>
  <c r="AT2313" i="1"/>
  <c r="Y2312" i="1"/>
  <c r="X2312" i="1"/>
  <c r="AX2312" i="1"/>
  <c r="AW2312" i="1"/>
  <c r="AV2312" i="1"/>
  <c r="AU2312" i="1"/>
  <c r="AT2312" i="1"/>
  <c r="Y2311" i="1"/>
  <c r="X2311" i="1"/>
  <c r="AX2311" i="1"/>
  <c r="AW2311" i="1"/>
  <c r="AV2311" i="1"/>
  <c r="AU2311" i="1"/>
  <c r="AT2311" i="1"/>
  <c r="Y2310" i="1"/>
  <c r="X2310" i="1"/>
  <c r="AX2310" i="1"/>
  <c r="AW2310" i="1"/>
  <c r="AV2310" i="1"/>
  <c r="AU2310" i="1"/>
  <c r="AT2310" i="1"/>
  <c r="Y2309" i="1"/>
  <c r="X2309" i="1"/>
  <c r="AX2309" i="1"/>
  <c r="AW2309" i="1"/>
  <c r="AV2309" i="1"/>
  <c r="AU2309" i="1"/>
  <c r="AT2309" i="1"/>
  <c r="Y2308" i="1"/>
  <c r="X2308" i="1"/>
  <c r="AX2308" i="1"/>
  <c r="AW2308" i="1"/>
  <c r="AV2308" i="1"/>
  <c r="AU2308" i="1"/>
  <c r="AT2308" i="1"/>
  <c r="Y2307" i="1"/>
  <c r="X2307" i="1"/>
  <c r="AX2307" i="1"/>
  <c r="AW2307" i="1"/>
  <c r="AV2307" i="1"/>
  <c r="AU2307" i="1"/>
  <c r="AT2307" i="1"/>
  <c r="Y2306" i="1"/>
  <c r="X2306" i="1"/>
  <c r="AX2306" i="1"/>
  <c r="AW2306" i="1"/>
  <c r="AV2306" i="1"/>
  <c r="AU2306" i="1"/>
  <c r="AT2306" i="1"/>
  <c r="Y2305" i="1"/>
  <c r="X2305" i="1"/>
  <c r="AX2305" i="1"/>
  <c r="AW2305" i="1"/>
  <c r="AV2305" i="1"/>
  <c r="AU2305" i="1"/>
  <c r="AT2305" i="1"/>
  <c r="Y2304" i="1"/>
  <c r="X2304" i="1"/>
  <c r="AX2304" i="1"/>
  <c r="AW2304" i="1"/>
  <c r="AV2304" i="1"/>
  <c r="AU2304" i="1"/>
  <c r="AT2304" i="1"/>
  <c r="Y2303" i="1"/>
  <c r="X2303" i="1"/>
  <c r="AX2303" i="1"/>
  <c r="AW2303" i="1"/>
  <c r="AV2303" i="1"/>
  <c r="AU2303" i="1"/>
  <c r="AT2303" i="1"/>
  <c r="Y2302" i="1"/>
  <c r="X2302" i="1"/>
  <c r="AX2302" i="1"/>
  <c r="AW2302" i="1"/>
  <c r="AV2302" i="1"/>
  <c r="AU2302" i="1"/>
  <c r="AT2302" i="1"/>
  <c r="Y2301" i="1"/>
  <c r="X2301" i="1"/>
  <c r="AX2301" i="1"/>
  <c r="AW2301" i="1"/>
  <c r="AV2301" i="1"/>
  <c r="AU2301" i="1"/>
  <c r="AT2301" i="1"/>
  <c r="Y2300" i="1"/>
  <c r="X2300" i="1"/>
  <c r="AX2300" i="1"/>
  <c r="AW2300" i="1"/>
  <c r="AV2300" i="1"/>
  <c r="AU2300" i="1"/>
  <c r="AT2300" i="1"/>
  <c r="Y2299" i="1"/>
  <c r="X2299" i="1"/>
  <c r="AX2299" i="1"/>
  <c r="AW2299" i="1"/>
  <c r="AV2299" i="1"/>
  <c r="AU2299" i="1"/>
  <c r="AT2299" i="1"/>
  <c r="Y2298" i="1"/>
  <c r="X2298" i="1"/>
  <c r="AX2298" i="1"/>
  <c r="AW2298" i="1"/>
  <c r="AV2298" i="1"/>
  <c r="AU2298" i="1"/>
  <c r="AT2298" i="1"/>
  <c r="Y2297" i="1"/>
  <c r="X2297" i="1"/>
  <c r="AX2297" i="1"/>
  <c r="AW2297" i="1"/>
  <c r="AV2297" i="1"/>
  <c r="AU2297" i="1"/>
  <c r="AT2297" i="1"/>
  <c r="Y2296" i="1"/>
  <c r="X2296" i="1"/>
  <c r="AX2296" i="1"/>
  <c r="AW2296" i="1"/>
  <c r="AV2296" i="1"/>
  <c r="AU2296" i="1"/>
  <c r="AT2296" i="1"/>
  <c r="Y2295" i="1"/>
  <c r="X2295" i="1"/>
  <c r="AX2295" i="1"/>
  <c r="AW2295" i="1"/>
  <c r="AV2295" i="1"/>
  <c r="AU2295" i="1"/>
  <c r="AT2295" i="1"/>
  <c r="Y2294" i="1"/>
  <c r="X2294" i="1"/>
  <c r="AX2294" i="1"/>
  <c r="AW2294" i="1"/>
  <c r="AV2294" i="1"/>
  <c r="AU2294" i="1"/>
  <c r="AT2294" i="1"/>
  <c r="Y2293" i="1"/>
  <c r="X2293" i="1"/>
  <c r="AX2293" i="1"/>
  <c r="AW2293" i="1"/>
  <c r="AV2293" i="1"/>
  <c r="AU2293" i="1"/>
  <c r="AT2293" i="1"/>
  <c r="Y2292" i="1"/>
  <c r="X2292" i="1"/>
  <c r="AX2292" i="1"/>
  <c r="AW2292" i="1"/>
  <c r="AV2292" i="1"/>
  <c r="AU2292" i="1"/>
  <c r="AT2292" i="1"/>
  <c r="Y2291" i="1"/>
  <c r="X2291" i="1"/>
  <c r="AX2291" i="1"/>
  <c r="AW2291" i="1"/>
  <c r="AV2291" i="1"/>
  <c r="AU2291" i="1"/>
  <c r="AT2291" i="1"/>
  <c r="Y2290" i="1"/>
  <c r="X2290" i="1"/>
  <c r="AX2290" i="1"/>
  <c r="AW2290" i="1"/>
  <c r="AV2290" i="1"/>
  <c r="AU2290" i="1"/>
  <c r="AT2290" i="1"/>
  <c r="Y2289" i="1"/>
  <c r="X2289" i="1"/>
  <c r="AX2289" i="1"/>
  <c r="AW2289" i="1"/>
  <c r="AV2289" i="1"/>
  <c r="AU2289" i="1"/>
  <c r="AT2289" i="1"/>
  <c r="Y2288" i="1"/>
  <c r="X2288" i="1"/>
  <c r="AX2288" i="1"/>
  <c r="AW2288" i="1"/>
  <c r="AV2288" i="1"/>
  <c r="AU2288" i="1"/>
  <c r="AT2288" i="1"/>
  <c r="Y2287" i="1"/>
  <c r="X2287" i="1"/>
  <c r="AX2287" i="1"/>
  <c r="AW2287" i="1"/>
  <c r="AV2287" i="1"/>
  <c r="AU2287" i="1"/>
  <c r="AT2287" i="1"/>
  <c r="Y2286" i="1"/>
  <c r="X2286" i="1"/>
  <c r="AX2286" i="1"/>
  <c r="AW2286" i="1"/>
  <c r="AV2286" i="1"/>
  <c r="AU2286" i="1"/>
  <c r="AT2286" i="1"/>
  <c r="Y2285" i="1"/>
  <c r="X2285" i="1"/>
  <c r="AX2285" i="1"/>
  <c r="AW2285" i="1"/>
  <c r="AV2285" i="1"/>
  <c r="AU2285" i="1"/>
  <c r="AT2285" i="1"/>
  <c r="Y2284" i="1"/>
  <c r="X2284" i="1"/>
  <c r="AX2284" i="1"/>
  <c r="AW2284" i="1"/>
  <c r="AV2284" i="1"/>
  <c r="AU2284" i="1"/>
  <c r="AT2284" i="1"/>
  <c r="Y2283" i="1"/>
  <c r="X2283" i="1"/>
  <c r="AX2283" i="1"/>
  <c r="AW2283" i="1"/>
  <c r="AV2283" i="1"/>
  <c r="AU2283" i="1"/>
  <c r="AT2283" i="1"/>
  <c r="Y2282" i="1"/>
  <c r="X2282" i="1"/>
  <c r="AX2282" i="1"/>
  <c r="AW2282" i="1"/>
  <c r="AV2282" i="1"/>
  <c r="AU2282" i="1"/>
  <c r="AT2282" i="1"/>
  <c r="Y2281" i="1"/>
  <c r="X2281" i="1"/>
  <c r="AX2281" i="1"/>
  <c r="AW2281" i="1"/>
  <c r="AV2281" i="1"/>
  <c r="AU2281" i="1"/>
  <c r="AT2281" i="1"/>
  <c r="Y2280" i="1"/>
  <c r="X2280" i="1"/>
  <c r="AX2280" i="1"/>
  <c r="AW2280" i="1"/>
  <c r="AV2280" i="1"/>
  <c r="AU2280" i="1"/>
  <c r="AT2280" i="1"/>
  <c r="Y2279" i="1"/>
  <c r="X2279" i="1"/>
  <c r="AX2279" i="1"/>
  <c r="AW2279" i="1"/>
  <c r="AV2279" i="1"/>
  <c r="AU2279" i="1"/>
  <c r="AT2279" i="1"/>
  <c r="Y2278" i="1"/>
  <c r="X2278" i="1"/>
  <c r="AX2278" i="1"/>
  <c r="AW2278" i="1"/>
  <c r="AV2278" i="1"/>
  <c r="AU2278" i="1"/>
  <c r="AT2278" i="1"/>
  <c r="Y2277" i="1"/>
  <c r="X2277" i="1"/>
  <c r="AX2277" i="1"/>
  <c r="AW2277" i="1"/>
  <c r="AV2277" i="1"/>
  <c r="AU2277" i="1"/>
  <c r="AT2277" i="1"/>
  <c r="Y2276" i="1"/>
  <c r="X2276" i="1"/>
  <c r="AX2276" i="1"/>
  <c r="AW2276" i="1"/>
  <c r="AV2276" i="1"/>
  <c r="AU2276" i="1"/>
  <c r="AT2276" i="1"/>
  <c r="Y2275" i="1"/>
  <c r="X2275" i="1"/>
  <c r="AX2275" i="1"/>
  <c r="AW2275" i="1"/>
  <c r="AV2275" i="1"/>
  <c r="AU2275" i="1"/>
  <c r="AT2275" i="1"/>
  <c r="Y2274" i="1"/>
  <c r="X2274" i="1"/>
  <c r="AX2274" i="1"/>
  <c r="AW2274" i="1"/>
  <c r="AV2274" i="1"/>
  <c r="AU2274" i="1"/>
  <c r="AT2274" i="1"/>
  <c r="Y2273" i="1"/>
  <c r="X2273" i="1"/>
  <c r="AX2273" i="1"/>
  <c r="AW2273" i="1"/>
  <c r="AV2273" i="1"/>
  <c r="AU2273" i="1"/>
  <c r="AT2273" i="1"/>
  <c r="Y2272" i="1"/>
  <c r="X2272" i="1"/>
  <c r="AX2272" i="1"/>
  <c r="AW2272" i="1"/>
  <c r="AV2272" i="1"/>
  <c r="AU2272" i="1"/>
  <c r="AT2272" i="1"/>
  <c r="Y2271" i="1"/>
  <c r="X2271" i="1"/>
  <c r="AX2271" i="1"/>
  <c r="AW2271" i="1"/>
  <c r="AV2271" i="1"/>
  <c r="AU2271" i="1"/>
  <c r="AT2271" i="1"/>
  <c r="Y2270" i="1"/>
  <c r="X2270" i="1"/>
  <c r="AX2270" i="1"/>
  <c r="AW2270" i="1"/>
  <c r="AV2270" i="1"/>
  <c r="AU2270" i="1"/>
  <c r="AT2270" i="1"/>
  <c r="Y2269" i="1"/>
  <c r="X2269" i="1"/>
  <c r="AX2269" i="1"/>
  <c r="AW2269" i="1"/>
  <c r="AV2269" i="1"/>
  <c r="AU2269" i="1"/>
  <c r="AT2269" i="1"/>
  <c r="Y2268" i="1"/>
  <c r="X2268" i="1"/>
  <c r="AX2268" i="1"/>
  <c r="AW2268" i="1"/>
  <c r="AV2268" i="1"/>
  <c r="AU2268" i="1"/>
  <c r="AT2268" i="1"/>
  <c r="Y2267" i="1"/>
  <c r="X2267" i="1"/>
  <c r="AX2267" i="1"/>
  <c r="AW2267" i="1"/>
  <c r="AV2267" i="1"/>
  <c r="AU2267" i="1"/>
  <c r="AT2267" i="1"/>
  <c r="Y2266" i="1"/>
  <c r="X2266" i="1"/>
  <c r="AX2266" i="1"/>
  <c r="AW2266" i="1"/>
  <c r="AV2266" i="1"/>
  <c r="AU2266" i="1"/>
  <c r="AT2266" i="1"/>
  <c r="Y2265" i="1"/>
  <c r="X2265" i="1"/>
  <c r="AX2265" i="1"/>
  <c r="AW2265" i="1"/>
  <c r="AV2265" i="1"/>
  <c r="AU2265" i="1"/>
  <c r="AT2265" i="1"/>
  <c r="Y2264" i="1"/>
  <c r="X2264" i="1"/>
  <c r="AX2264" i="1"/>
  <c r="AW2264" i="1"/>
  <c r="AV2264" i="1"/>
  <c r="AU2264" i="1"/>
  <c r="AT2264" i="1"/>
  <c r="Y2263" i="1"/>
  <c r="X2263" i="1"/>
  <c r="AX2263" i="1"/>
  <c r="AW2263" i="1"/>
  <c r="AV2263" i="1"/>
  <c r="AU2263" i="1"/>
  <c r="AT2263" i="1"/>
  <c r="Y2262" i="1"/>
  <c r="X2262" i="1"/>
  <c r="AX2262" i="1"/>
  <c r="AW2262" i="1"/>
  <c r="AV2262" i="1"/>
  <c r="AU2262" i="1"/>
  <c r="AT2262" i="1"/>
  <c r="Y2261" i="1"/>
  <c r="X2261" i="1"/>
  <c r="AX2261" i="1"/>
  <c r="AW2261" i="1"/>
  <c r="AV2261" i="1"/>
  <c r="AU2261" i="1"/>
  <c r="AT2261" i="1"/>
  <c r="Y2260" i="1"/>
  <c r="X2260" i="1"/>
  <c r="AX2260" i="1"/>
  <c r="AW2260" i="1"/>
  <c r="AV2260" i="1"/>
  <c r="AU2260" i="1"/>
  <c r="AT2260" i="1"/>
  <c r="Y2259" i="1"/>
  <c r="X2259" i="1"/>
  <c r="AX2259" i="1"/>
  <c r="AW2259" i="1"/>
  <c r="AV2259" i="1"/>
  <c r="AU2259" i="1"/>
  <c r="AT2259" i="1"/>
  <c r="Y2258" i="1"/>
  <c r="X2258" i="1"/>
  <c r="AX2258" i="1"/>
  <c r="AW2258" i="1"/>
  <c r="AV2258" i="1"/>
  <c r="AU2258" i="1"/>
  <c r="AT2258" i="1"/>
  <c r="Y2257" i="1"/>
  <c r="X2257" i="1"/>
  <c r="AX2257" i="1"/>
  <c r="AW2257" i="1"/>
  <c r="AV2257" i="1"/>
  <c r="AU2257" i="1"/>
  <c r="AT2257" i="1"/>
  <c r="Y2256" i="1"/>
  <c r="X2256" i="1"/>
  <c r="AX2256" i="1"/>
  <c r="AW2256" i="1"/>
  <c r="AV2256" i="1"/>
  <c r="AU2256" i="1"/>
  <c r="AT2256" i="1"/>
  <c r="Y2255" i="1"/>
  <c r="X2255" i="1"/>
  <c r="AX2255" i="1"/>
  <c r="AW2255" i="1"/>
  <c r="AV2255" i="1"/>
  <c r="AU2255" i="1"/>
  <c r="AT2255" i="1"/>
  <c r="Y2254" i="1"/>
  <c r="X2254" i="1"/>
  <c r="AX2254" i="1"/>
  <c r="AW2254" i="1"/>
  <c r="AV2254" i="1"/>
  <c r="AU2254" i="1"/>
  <c r="AT2254" i="1"/>
  <c r="Y2253" i="1"/>
  <c r="X2253" i="1"/>
  <c r="AX2253" i="1"/>
  <c r="AW2253" i="1"/>
  <c r="AV2253" i="1"/>
  <c r="AU2253" i="1"/>
  <c r="AT2253" i="1"/>
  <c r="Y2252" i="1"/>
  <c r="X2252" i="1"/>
  <c r="AX2252" i="1"/>
  <c r="AW2252" i="1"/>
  <c r="AV2252" i="1"/>
  <c r="AU2252" i="1"/>
  <c r="AT2252" i="1"/>
  <c r="Y2251" i="1"/>
  <c r="X2251" i="1"/>
  <c r="AX2251" i="1"/>
  <c r="AW2251" i="1"/>
  <c r="AV2251" i="1"/>
  <c r="AU2251" i="1"/>
  <c r="AT2251" i="1"/>
  <c r="Y2250" i="1"/>
  <c r="X2250" i="1"/>
  <c r="AX2250" i="1"/>
  <c r="AW2250" i="1"/>
  <c r="AV2250" i="1"/>
  <c r="AU2250" i="1"/>
  <c r="AT2250" i="1"/>
  <c r="Y2249" i="1"/>
  <c r="X2249" i="1"/>
  <c r="AX2249" i="1"/>
  <c r="AW2249" i="1"/>
  <c r="AV2249" i="1"/>
  <c r="AU2249" i="1"/>
  <c r="AT2249" i="1"/>
  <c r="Y2248" i="1"/>
  <c r="X2248" i="1"/>
  <c r="AX2248" i="1"/>
  <c r="AW2248" i="1"/>
  <c r="AV2248" i="1"/>
  <c r="AU2248" i="1"/>
  <c r="AT2248" i="1"/>
  <c r="Y2247" i="1"/>
  <c r="X2247" i="1"/>
  <c r="AX2247" i="1"/>
  <c r="AW2247" i="1"/>
  <c r="AV2247" i="1"/>
  <c r="AU2247" i="1"/>
  <c r="AT2247" i="1"/>
  <c r="Y2246" i="1"/>
  <c r="X2246" i="1"/>
  <c r="AX2246" i="1"/>
  <c r="AW2246" i="1"/>
  <c r="AV2246" i="1"/>
  <c r="AU2246" i="1"/>
  <c r="AT2246" i="1"/>
  <c r="Y2245" i="1"/>
  <c r="X2245" i="1"/>
  <c r="AX2245" i="1"/>
  <c r="AW2245" i="1"/>
  <c r="AV2245" i="1"/>
  <c r="AU2245" i="1"/>
  <c r="AT2245" i="1"/>
  <c r="Y2244" i="1"/>
  <c r="X2244" i="1"/>
  <c r="AX2244" i="1"/>
  <c r="AW2244" i="1"/>
  <c r="AV2244" i="1"/>
  <c r="AU2244" i="1"/>
  <c r="AT2244" i="1"/>
  <c r="Y2243" i="1"/>
  <c r="X2243" i="1"/>
  <c r="AX2243" i="1"/>
  <c r="AW2243" i="1"/>
  <c r="AV2243" i="1"/>
  <c r="AU2243" i="1"/>
  <c r="AT2243" i="1"/>
  <c r="Y2242" i="1"/>
  <c r="X2242" i="1"/>
  <c r="AX2242" i="1"/>
  <c r="AW2242" i="1"/>
  <c r="AV2242" i="1"/>
  <c r="AU2242" i="1"/>
  <c r="AT2242" i="1"/>
  <c r="Y2241" i="1"/>
  <c r="X2241" i="1"/>
  <c r="AX2241" i="1"/>
  <c r="AW2241" i="1"/>
  <c r="AV2241" i="1"/>
  <c r="AU2241" i="1"/>
  <c r="AT2241" i="1"/>
  <c r="Y2240" i="1"/>
  <c r="X2240" i="1"/>
  <c r="AX2240" i="1"/>
  <c r="AW2240" i="1"/>
  <c r="AV2240" i="1"/>
  <c r="AU2240" i="1"/>
  <c r="AT2240" i="1"/>
  <c r="Y2239" i="1"/>
  <c r="X2239" i="1"/>
  <c r="AX2239" i="1"/>
  <c r="AW2239" i="1"/>
  <c r="AV2239" i="1"/>
  <c r="AU2239" i="1"/>
  <c r="AT2239" i="1"/>
  <c r="Y2238" i="1"/>
  <c r="X2238" i="1"/>
  <c r="AX2238" i="1"/>
  <c r="AW2238" i="1"/>
  <c r="AV2238" i="1"/>
  <c r="AU2238" i="1"/>
  <c r="AT2238" i="1"/>
  <c r="Y2237" i="1"/>
  <c r="X2237" i="1"/>
  <c r="AX2237" i="1"/>
  <c r="AW2237" i="1"/>
  <c r="AV2237" i="1"/>
  <c r="AU2237" i="1"/>
  <c r="AT2237" i="1"/>
  <c r="Y2235" i="1"/>
  <c r="X2235" i="1"/>
  <c r="AX2235" i="1"/>
  <c r="AW2235" i="1"/>
  <c r="AV2235" i="1"/>
  <c r="AU2235" i="1"/>
  <c r="AT2235" i="1"/>
  <c r="Y2234" i="1"/>
  <c r="X2234" i="1"/>
  <c r="AX2234" i="1"/>
  <c r="AW2234" i="1"/>
  <c r="AV2234" i="1"/>
  <c r="AU2234" i="1"/>
  <c r="AT2234" i="1"/>
  <c r="Y2233" i="1"/>
  <c r="X2233" i="1"/>
  <c r="AX2233" i="1"/>
  <c r="AW2233" i="1"/>
  <c r="AV2233" i="1"/>
  <c r="AU2233" i="1"/>
  <c r="AT2233" i="1"/>
  <c r="Y2232" i="1"/>
  <c r="X2232" i="1"/>
  <c r="AX2232" i="1"/>
  <c r="AW2232" i="1"/>
  <c r="AV2232" i="1"/>
  <c r="AU2232" i="1"/>
  <c r="AT2232" i="1"/>
  <c r="Y2231" i="1"/>
  <c r="X2231" i="1"/>
  <c r="AX2231" i="1"/>
  <c r="AW2231" i="1"/>
  <c r="AV2231" i="1"/>
  <c r="AU2231" i="1"/>
  <c r="AT2231" i="1"/>
  <c r="Y2230" i="1"/>
  <c r="X2230" i="1"/>
  <c r="AX2230" i="1"/>
  <c r="AW2230" i="1"/>
  <c r="AV2230" i="1"/>
  <c r="AU2230" i="1"/>
  <c r="AT2230" i="1"/>
  <c r="Y2229" i="1"/>
  <c r="X2229" i="1"/>
  <c r="AX2229" i="1"/>
  <c r="AW2229" i="1"/>
  <c r="AV2229" i="1"/>
  <c r="AU2229" i="1"/>
  <c r="AT2229" i="1"/>
  <c r="Y2228" i="1"/>
  <c r="X2228" i="1"/>
  <c r="AX2228" i="1"/>
  <c r="AW2228" i="1"/>
  <c r="AV2228" i="1"/>
  <c r="AU2228" i="1"/>
  <c r="AT2228" i="1"/>
  <c r="Y2227" i="1"/>
  <c r="X2227" i="1"/>
  <c r="AX2227" i="1"/>
  <c r="AW2227" i="1"/>
  <c r="AV2227" i="1"/>
  <c r="AU2227" i="1"/>
  <c r="AT2227" i="1"/>
  <c r="Y2226" i="1"/>
  <c r="X2226" i="1"/>
  <c r="AX2226" i="1"/>
  <c r="AW2226" i="1"/>
  <c r="AV2226" i="1"/>
  <c r="AU2226" i="1"/>
  <c r="AT2226" i="1"/>
  <c r="Y2225" i="1"/>
  <c r="X2225" i="1"/>
  <c r="AX2225" i="1"/>
  <c r="AW2225" i="1"/>
  <c r="AV2225" i="1"/>
  <c r="AU2225" i="1"/>
  <c r="AT2225" i="1"/>
  <c r="Y2224" i="1"/>
  <c r="X2224" i="1"/>
  <c r="AX2224" i="1"/>
  <c r="AW2224" i="1"/>
  <c r="AV2224" i="1"/>
  <c r="AU2224" i="1"/>
  <c r="AT2224" i="1"/>
  <c r="Y2223" i="1"/>
  <c r="X2223" i="1"/>
  <c r="AX2223" i="1"/>
  <c r="AW2223" i="1"/>
  <c r="AV2223" i="1"/>
  <c r="AU2223" i="1"/>
  <c r="AT2223" i="1"/>
  <c r="Y2222" i="1"/>
  <c r="X2222" i="1"/>
  <c r="AX2222" i="1"/>
  <c r="AW2222" i="1"/>
  <c r="AV2222" i="1"/>
  <c r="AU2222" i="1"/>
  <c r="AT2222" i="1"/>
  <c r="Y2221" i="1"/>
  <c r="X2221" i="1"/>
  <c r="AX2221" i="1"/>
  <c r="AW2221" i="1"/>
  <c r="AV2221" i="1"/>
  <c r="AU2221" i="1"/>
  <c r="AT2221" i="1"/>
  <c r="Y2220" i="1"/>
  <c r="X2220" i="1"/>
  <c r="AX2220" i="1"/>
  <c r="AW2220" i="1"/>
  <c r="AV2220" i="1"/>
  <c r="AU2220" i="1"/>
  <c r="AT2220" i="1"/>
  <c r="Y2219" i="1"/>
  <c r="X2219" i="1"/>
  <c r="AX2219" i="1"/>
  <c r="AW2219" i="1"/>
  <c r="AV2219" i="1"/>
  <c r="AU2219" i="1"/>
  <c r="AT2219" i="1"/>
  <c r="Y2218" i="1"/>
  <c r="X2218" i="1"/>
  <c r="AX2218" i="1"/>
  <c r="AW2218" i="1"/>
  <c r="AV2218" i="1"/>
  <c r="AU2218" i="1"/>
  <c r="AT2218" i="1"/>
  <c r="Y2217" i="1"/>
  <c r="X2217" i="1"/>
  <c r="AX2217" i="1"/>
  <c r="AW2217" i="1"/>
  <c r="AV2217" i="1"/>
  <c r="AU2217" i="1"/>
  <c r="AT2217" i="1"/>
  <c r="Y2216" i="1"/>
  <c r="X2216" i="1"/>
  <c r="AX2216" i="1"/>
  <c r="AW2216" i="1"/>
  <c r="AV2216" i="1"/>
  <c r="AU2216" i="1"/>
  <c r="AT2216" i="1"/>
  <c r="Y2215" i="1"/>
  <c r="X2215" i="1"/>
  <c r="AX2215" i="1"/>
  <c r="AW2215" i="1"/>
  <c r="AV2215" i="1"/>
  <c r="AU2215" i="1"/>
  <c r="AT2215" i="1"/>
  <c r="Y2214" i="1"/>
  <c r="X2214" i="1"/>
  <c r="AX2214" i="1"/>
  <c r="AW2214" i="1"/>
  <c r="AV2214" i="1"/>
  <c r="AU2214" i="1"/>
  <c r="AT2214" i="1"/>
  <c r="Y2213" i="1"/>
  <c r="X2213" i="1"/>
  <c r="AX2213" i="1"/>
  <c r="AW2213" i="1"/>
  <c r="AV2213" i="1"/>
  <c r="AU2213" i="1"/>
  <c r="AT2213" i="1"/>
  <c r="Y2211" i="1"/>
  <c r="X2211" i="1"/>
  <c r="AX2211" i="1"/>
  <c r="AW2211" i="1"/>
  <c r="AV2211" i="1"/>
  <c r="AU2211" i="1"/>
  <c r="AT2211" i="1"/>
  <c r="Y2210" i="1"/>
  <c r="X2210" i="1"/>
  <c r="AX2210" i="1"/>
  <c r="AW2210" i="1"/>
  <c r="AV2210" i="1"/>
  <c r="AU2210" i="1"/>
  <c r="AT2210" i="1"/>
  <c r="Y2209" i="1"/>
  <c r="X2209" i="1"/>
  <c r="AX2209" i="1"/>
  <c r="AW2209" i="1"/>
  <c r="AV2209" i="1"/>
  <c r="AU2209" i="1"/>
  <c r="AT2209" i="1"/>
  <c r="Y2208" i="1"/>
  <c r="X2208" i="1"/>
  <c r="AX2208" i="1"/>
  <c r="AW2208" i="1"/>
  <c r="AV2208" i="1"/>
  <c r="AU2208" i="1"/>
  <c r="AT2208" i="1"/>
  <c r="Y2207" i="1"/>
  <c r="X2207" i="1"/>
  <c r="AX2207" i="1"/>
  <c r="AW2207" i="1"/>
  <c r="AV2207" i="1"/>
  <c r="AU2207" i="1"/>
  <c r="AT2207" i="1"/>
  <c r="Y2206" i="1"/>
  <c r="X2206" i="1"/>
  <c r="AX2206" i="1"/>
  <c r="AW2206" i="1"/>
  <c r="AV2206" i="1"/>
  <c r="AU2206" i="1"/>
  <c r="AT2206" i="1"/>
  <c r="Y2205" i="1"/>
  <c r="X2205" i="1"/>
  <c r="AX2205" i="1"/>
  <c r="AW2205" i="1"/>
  <c r="AV2205" i="1"/>
  <c r="AU2205" i="1"/>
  <c r="AT2205" i="1"/>
  <c r="Y2204" i="1"/>
  <c r="X2204" i="1"/>
  <c r="AX2204" i="1"/>
  <c r="AW2204" i="1"/>
  <c r="AV2204" i="1"/>
  <c r="AU2204" i="1"/>
  <c r="AT2204" i="1"/>
  <c r="Y2203" i="1"/>
  <c r="X2203" i="1"/>
  <c r="AX2203" i="1"/>
  <c r="AW2203" i="1"/>
  <c r="AV2203" i="1"/>
  <c r="AU2203" i="1"/>
  <c r="AT2203" i="1"/>
  <c r="Y2202" i="1"/>
  <c r="X2202" i="1"/>
  <c r="AX2202" i="1"/>
  <c r="AW2202" i="1"/>
  <c r="AV2202" i="1"/>
  <c r="AU2202" i="1"/>
  <c r="AT2202" i="1"/>
  <c r="Y2201" i="1"/>
  <c r="X2201" i="1"/>
  <c r="AX2201" i="1"/>
  <c r="AW2201" i="1"/>
  <c r="AV2201" i="1"/>
  <c r="AU2201" i="1"/>
  <c r="AT2201" i="1"/>
  <c r="Y2200" i="1"/>
  <c r="X2200" i="1"/>
  <c r="AX2200" i="1"/>
  <c r="AW2200" i="1"/>
  <c r="AV2200" i="1"/>
  <c r="AU2200" i="1"/>
  <c r="AT2200" i="1"/>
  <c r="Y2199" i="1"/>
  <c r="X2199" i="1"/>
  <c r="AX2199" i="1"/>
  <c r="AW2199" i="1"/>
  <c r="AV2199" i="1"/>
  <c r="AU2199" i="1"/>
  <c r="AT2199" i="1"/>
  <c r="Y2198" i="1"/>
  <c r="X2198" i="1"/>
  <c r="AX2198" i="1"/>
  <c r="AW2198" i="1"/>
  <c r="AV2198" i="1"/>
  <c r="AU2198" i="1"/>
  <c r="AT2198" i="1"/>
  <c r="Y2197" i="1"/>
  <c r="X2197" i="1"/>
  <c r="AX2197" i="1"/>
  <c r="AW2197" i="1"/>
  <c r="AV2197" i="1"/>
  <c r="AU2197" i="1"/>
  <c r="AT2197" i="1"/>
  <c r="Y2196" i="1"/>
  <c r="X2196" i="1"/>
  <c r="AX2196" i="1"/>
  <c r="AW2196" i="1"/>
  <c r="AV2196" i="1"/>
  <c r="AU2196" i="1"/>
  <c r="AT2196" i="1"/>
  <c r="Y2195" i="1"/>
  <c r="X2195" i="1"/>
  <c r="AX2195" i="1"/>
  <c r="AW2195" i="1"/>
  <c r="AV2195" i="1"/>
  <c r="AU2195" i="1"/>
  <c r="AT2195" i="1"/>
  <c r="A13" i="1"/>
  <c r="Y2192" i="1"/>
  <c r="X2192" i="1"/>
  <c r="AX2192" i="1"/>
  <c r="AW2192" i="1"/>
  <c r="AV2192" i="1"/>
  <c r="AU2192" i="1"/>
  <c r="AT2192" i="1"/>
  <c r="Y2191" i="1"/>
  <c r="X2191" i="1"/>
  <c r="AX2191" i="1"/>
  <c r="AW2191" i="1"/>
  <c r="AV2191" i="1"/>
  <c r="AU2191" i="1"/>
  <c r="AT2191" i="1"/>
  <c r="Y2190" i="1"/>
  <c r="X2190" i="1"/>
  <c r="AX2190" i="1"/>
  <c r="AW2190" i="1"/>
  <c r="AV2190" i="1"/>
  <c r="AU2190" i="1"/>
  <c r="AT2190" i="1"/>
  <c r="Y2189" i="1"/>
  <c r="X2189" i="1"/>
  <c r="AX2189" i="1"/>
  <c r="AW2189" i="1"/>
  <c r="AV2189" i="1"/>
  <c r="AU2189" i="1"/>
  <c r="AT2189" i="1"/>
  <c r="Y2188" i="1"/>
  <c r="X2188" i="1"/>
  <c r="AX2188" i="1"/>
  <c r="AW2188" i="1"/>
  <c r="AV2188" i="1"/>
  <c r="AU2188" i="1"/>
  <c r="AT2188" i="1"/>
  <c r="Y2186" i="1"/>
  <c r="X2186" i="1"/>
  <c r="AX2186" i="1"/>
  <c r="AW2186" i="1"/>
  <c r="AV2186" i="1"/>
  <c r="AU2186" i="1"/>
  <c r="AT2186" i="1"/>
  <c r="Y2185" i="1"/>
  <c r="X2185" i="1"/>
  <c r="AX2185" i="1"/>
  <c r="AW2185" i="1"/>
  <c r="AV2185" i="1"/>
  <c r="AU2185" i="1"/>
  <c r="AT2185" i="1"/>
  <c r="Y2184" i="1"/>
  <c r="X2184" i="1"/>
  <c r="AX2184" i="1"/>
  <c r="AW2184" i="1"/>
  <c r="AV2184" i="1"/>
  <c r="AU2184" i="1"/>
  <c r="AT2184" i="1"/>
  <c r="Y2183" i="1"/>
  <c r="X2183" i="1"/>
  <c r="AX2183" i="1"/>
  <c r="AW2183" i="1"/>
  <c r="AV2183" i="1"/>
  <c r="AU2183" i="1"/>
  <c r="AT2183" i="1"/>
  <c r="Y2182" i="1"/>
  <c r="X2182" i="1"/>
  <c r="AX2182" i="1"/>
  <c r="AW2182" i="1"/>
  <c r="AV2182" i="1"/>
  <c r="AU2182" i="1"/>
  <c r="AT2182" i="1"/>
  <c r="Y2181" i="1"/>
  <c r="X2181" i="1"/>
  <c r="AX2181" i="1"/>
  <c r="AW2181" i="1"/>
  <c r="AV2181" i="1"/>
  <c r="AU2181" i="1"/>
  <c r="AT2181" i="1"/>
  <c r="Y2180" i="1"/>
  <c r="X2180" i="1"/>
  <c r="AX2180" i="1"/>
  <c r="AW2180" i="1"/>
  <c r="AV2180" i="1"/>
  <c r="AU2180" i="1"/>
  <c r="AT2180" i="1"/>
  <c r="Y2179" i="1"/>
  <c r="X2179" i="1"/>
  <c r="AX2179" i="1"/>
  <c r="AW2179" i="1"/>
  <c r="AV2179" i="1"/>
  <c r="AU2179" i="1"/>
  <c r="AT2179" i="1"/>
  <c r="Y2178" i="1"/>
  <c r="X2178" i="1"/>
  <c r="AX2178" i="1"/>
  <c r="AW2178" i="1"/>
  <c r="AV2178" i="1"/>
  <c r="AU2178" i="1"/>
  <c r="AT2178" i="1"/>
  <c r="Y2177" i="1"/>
  <c r="X2177" i="1"/>
  <c r="AX2177" i="1"/>
  <c r="AW2177" i="1"/>
  <c r="AV2177" i="1"/>
  <c r="AU2177" i="1"/>
  <c r="AT2177" i="1"/>
  <c r="Y2176" i="1"/>
  <c r="X2176" i="1"/>
  <c r="AX2176" i="1"/>
  <c r="AW2176" i="1"/>
  <c r="AV2176" i="1"/>
  <c r="AU2176" i="1"/>
  <c r="AT2176" i="1"/>
  <c r="Y2175" i="1"/>
  <c r="X2175" i="1"/>
  <c r="AX2175" i="1"/>
  <c r="AW2175" i="1"/>
  <c r="AV2175" i="1"/>
  <c r="AU2175" i="1"/>
  <c r="AT2175" i="1"/>
  <c r="Y2174" i="1"/>
  <c r="X2174" i="1"/>
  <c r="AX2174" i="1"/>
  <c r="AW2174" i="1"/>
  <c r="AV2174" i="1"/>
  <c r="AU2174" i="1"/>
  <c r="AT2174" i="1"/>
  <c r="Y2173" i="1"/>
  <c r="X2173" i="1"/>
  <c r="AX2173" i="1"/>
  <c r="AW2173" i="1"/>
  <c r="AV2173" i="1"/>
  <c r="AU2173" i="1"/>
  <c r="AT2173" i="1"/>
  <c r="Y2172" i="1"/>
  <c r="X2172" i="1"/>
  <c r="AX2172" i="1"/>
  <c r="AW2172" i="1"/>
  <c r="AV2172" i="1"/>
  <c r="AU2172" i="1"/>
  <c r="AT2172" i="1"/>
  <c r="Y2171" i="1"/>
  <c r="X2171" i="1"/>
  <c r="AX2171" i="1"/>
  <c r="AW2171" i="1"/>
  <c r="AV2171" i="1"/>
  <c r="AU2171" i="1"/>
  <c r="AT2171" i="1"/>
  <c r="Y2170" i="1"/>
  <c r="X2170" i="1"/>
  <c r="AX2170" i="1"/>
  <c r="AW2170" i="1"/>
  <c r="AV2170" i="1"/>
  <c r="AU2170" i="1"/>
  <c r="AT2170" i="1"/>
  <c r="Y2169" i="1"/>
  <c r="X2169" i="1"/>
  <c r="AX2169" i="1"/>
  <c r="AW2169" i="1"/>
  <c r="AV2169" i="1"/>
  <c r="AU2169" i="1"/>
  <c r="AT2169" i="1"/>
  <c r="Y2168" i="1"/>
  <c r="X2168" i="1"/>
  <c r="AX2168" i="1"/>
  <c r="AW2168" i="1"/>
  <c r="AV2168" i="1"/>
  <c r="AU2168" i="1"/>
  <c r="AT2168" i="1"/>
  <c r="Y2167" i="1"/>
  <c r="X2167" i="1"/>
  <c r="AX2167" i="1"/>
  <c r="AW2167" i="1"/>
  <c r="AV2167" i="1"/>
  <c r="AU2167" i="1"/>
  <c r="AT2167" i="1"/>
  <c r="Y2166" i="1"/>
  <c r="X2166" i="1"/>
  <c r="AX2166" i="1"/>
  <c r="AW2166" i="1"/>
  <c r="AV2166" i="1"/>
  <c r="AU2166" i="1"/>
  <c r="AT2166" i="1"/>
  <c r="Y2165" i="1"/>
  <c r="X2165" i="1"/>
  <c r="AX2165" i="1"/>
  <c r="AW2165" i="1"/>
  <c r="AV2165" i="1"/>
  <c r="AU2165" i="1"/>
  <c r="AT2165" i="1"/>
  <c r="Y2164" i="1"/>
  <c r="X2164" i="1"/>
  <c r="AX2164" i="1"/>
  <c r="AW2164" i="1"/>
  <c r="AV2164" i="1"/>
  <c r="AU2164" i="1"/>
  <c r="AT2164" i="1"/>
  <c r="Y2163" i="1"/>
  <c r="X2163" i="1"/>
  <c r="AX2163" i="1"/>
  <c r="AW2163" i="1"/>
  <c r="AV2163" i="1"/>
  <c r="AU2163" i="1"/>
  <c r="AT2163" i="1"/>
  <c r="Y2161" i="1"/>
  <c r="X2161" i="1"/>
  <c r="AX2161" i="1"/>
  <c r="AW2161" i="1"/>
  <c r="AV2161" i="1"/>
  <c r="AU2161" i="1"/>
  <c r="AT2161" i="1"/>
  <c r="Y2160" i="1"/>
  <c r="X2160" i="1"/>
  <c r="AX2160" i="1"/>
  <c r="AW2160" i="1"/>
  <c r="AV2160" i="1"/>
  <c r="AU2160" i="1"/>
  <c r="AT2160" i="1"/>
  <c r="Y2159" i="1"/>
  <c r="X2159" i="1"/>
  <c r="AX2159" i="1"/>
  <c r="AW2159" i="1"/>
  <c r="AV2159" i="1"/>
  <c r="AU2159" i="1"/>
  <c r="AT2159" i="1"/>
  <c r="Y2158" i="1"/>
  <c r="X2158" i="1"/>
  <c r="AX2158" i="1"/>
  <c r="AW2158" i="1"/>
  <c r="AV2158" i="1"/>
  <c r="AU2158" i="1"/>
  <c r="AT2158" i="1"/>
  <c r="Y2157" i="1"/>
  <c r="X2157" i="1"/>
  <c r="AX2157" i="1"/>
  <c r="AW2157" i="1"/>
  <c r="AV2157" i="1"/>
  <c r="AU2157" i="1"/>
  <c r="AT2157" i="1"/>
  <c r="Y2155" i="1"/>
  <c r="X2155" i="1"/>
  <c r="AX2155" i="1"/>
  <c r="AW2155" i="1"/>
  <c r="AV2155" i="1"/>
  <c r="AU2155" i="1"/>
  <c r="AT2155" i="1"/>
  <c r="Y2154" i="1"/>
  <c r="X2154" i="1"/>
  <c r="AX2154" i="1"/>
  <c r="AW2154" i="1"/>
  <c r="AV2154" i="1"/>
  <c r="AU2154" i="1"/>
  <c r="AT2154" i="1"/>
  <c r="Y2153" i="1"/>
  <c r="X2153" i="1"/>
  <c r="AX2153" i="1"/>
  <c r="AW2153" i="1"/>
  <c r="AV2153" i="1"/>
  <c r="AU2153" i="1"/>
  <c r="AT2153" i="1"/>
  <c r="Y2152" i="1"/>
  <c r="X2152" i="1"/>
  <c r="AX2152" i="1"/>
  <c r="AW2152" i="1"/>
  <c r="AV2152" i="1"/>
  <c r="AU2152" i="1"/>
  <c r="AT2152" i="1"/>
  <c r="Y2151" i="1"/>
  <c r="X2151" i="1"/>
  <c r="AX2151" i="1"/>
  <c r="AW2151" i="1"/>
  <c r="AV2151" i="1"/>
  <c r="AU2151" i="1"/>
  <c r="AT2151" i="1"/>
  <c r="Y2149" i="1"/>
  <c r="X2149" i="1"/>
  <c r="AX2149" i="1"/>
  <c r="AW2149" i="1"/>
  <c r="AV2149" i="1"/>
  <c r="AU2149" i="1"/>
  <c r="AT2149" i="1"/>
  <c r="Y2148" i="1"/>
  <c r="X2148" i="1"/>
  <c r="AX2148" i="1"/>
  <c r="AW2148" i="1"/>
  <c r="AV2148" i="1"/>
  <c r="AU2148" i="1"/>
  <c r="AT2148" i="1"/>
  <c r="Y2147" i="1"/>
  <c r="X2147" i="1"/>
  <c r="AX2147" i="1"/>
  <c r="AW2147" i="1"/>
  <c r="AV2147" i="1"/>
  <c r="AU2147" i="1"/>
  <c r="AT2147" i="1"/>
  <c r="Y2146" i="1"/>
  <c r="X2146" i="1"/>
  <c r="AX2146" i="1"/>
  <c r="AW2146" i="1"/>
  <c r="AV2146" i="1"/>
  <c r="AU2146" i="1"/>
  <c r="AT2146" i="1"/>
  <c r="Y2145" i="1"/>
  <c r="X2145" i="1"/>
  <c r="AX2145" i="1"/>
  <c r="AW2145" i="1"/>
  <c r="AV2145" i="1"/>
  <c r="AU2145" i="1"/>
  <c r="AT2145" i="1"/>
  <c r="Y2144" i="1"/>
  <c r="X2144" i="1"/>
  <c r="AX2144" i="1"/>
  <c r="AW2144" i="1"/>
  <c r="AV2144" i="1"/>
  <c r="AU2144" i="1"/>
  <c r="AT2144" i="1"/>
  <c r="Y2142" i="1"/>
  <c r="X2142" i="1"/>
  <c r="AX2142" i="1"/>
  <c r="AW2142" i="1"/>
  <c r="AV2142" i="1"/>
  <c r="AU2142" i="1"/>
  <c r="AT2142" i="1"/>
  <c r="Y2141" i="1"/>
  <c r="X2141" i="1"/>
  <c r="AX2141" i="1"/>
  <c r="AW2141" i="1"/>
  <c r="AV2141" i="1"/>
  <c r="AU2141" i="1"/>
  <c r="AT2141" i="1"/>
  <c r="Y2140" i="1"/>
  <c r="X2140" i="1"/>
  <c r="AX2140" i="1"/>
  <c r="AW2140" i="1"/>
  <c r="AV2140" i="1"/>
  <c r="AU2140" i="1"/>
  <c r="AT2140" i="1"/>
  <c r="Y2139" i="1"/>
  <c r="X2139" i="1"/>
  <c r="AX2139" i="1"/>
  <c r="AW2139" i="1"/>
  <c r="AV2139" i="1"/>
  <c r="AU2139" i="1"/>
  <c r="AT2139" i="1"/>
  <c r="Y2138" i="1"/>
  <c r="X2138" i="1"/>
  <c r="AX2138" i="1"/>
  <c r="AW2138" i="1"/>
  <c r="AV2138" i="1"/>
  <c r="AU2138" i="1"/>
  <c r="AT2138" i="1"/>
  <c r="Y2137" i="1"/>
  <c r="X2137" i="1"/>
  <c r="AX2137" i="1"/>
  <c r="AW2137" i="1"/>
  <c r="AV2137" i="1"/>
  <c r="AU2137" i="1"/>
  <c r="AT2137" i="1"/>
  <c r="Y2136" i="1"/>
  <c r="X2136" i="1"/>
  <c r="AX2136" i="1"/>
  <c r="AW2136" i="1"/>
  <c r="AV2136" i="1"/>
  <c r="AU2136" i="1"/>
  <c r="AT2136" i="1"/>
  <c r="Y2135" i="1"/>
  <c r="X2135" i="1"/>
  <c r="AX2135" i="1"/>
  <c r="AW2135" i="1"/>
  <c r="AV2135" i="1"/>
  <c r="AU2135" i="1"/>
  <c r="AT2135" i="1"/>
  <c r="Y2134" i="1"/>
  <c r="X2134" i="1"/>
  <c r="AX2134" i="1"/>
  <c r="AW2134" i="1"/>
  <c r="AV2134" i="1"/>
  <c r="AU2134" i="1"/>
  <c r="AT2134" i="1"/>
  <c r="Y2133" i="1"/>
  <c r="X2133" i="1"/>
  <c r="AX2133" i="1"/>
  <c r="AW2133" i="1"/>
  <c r="AV2133" i="1"/>
  <c r="AU2133" i="1"/>
  <c r="AT2133" i="1"/>
  <c r="A12" i="1"/>
  <c r="Y2130" i="1"/>
  <c r="X2130" i="1"/>
  <c r="AX2130" i="1"/>
  <c r="AW2130" i="1"/>
  <c r="AV2130" i="1"/>
  <c r="AU2130" i="1"/>
  <c r="AT2130" i="1"/>
  <c r="Y2129" i="1"/>
  <c r="X2129" i="1"/>
  <c r="AX2129" i="1"/>
  <c r="AW2129" i="1"/>
  <c r="AV2129" i="1"/>
  <c r="AU2129" i="1"/>
  <c r="AT2129" i="1"/>
  <c r="Y2128" i="1"/>
  <c r="X2128" i="1"/>
  <c r="AX2128" i="1"/>
  <c r="AW2128" i="1"/>
  <c r="AV2128" i="1"/>
  <c r="AU2128" i="1"/>
  <c r="AT2128" i="1"/>
  <c r="Y2127" i="1"/>
  <c r="X2127" i="1"/>
  <c r="AX2127" i="1"/>
  <c r="AW2127" i="1"/>
  <c r="AV2127" i="1"/>
  <c r="AU2127" i="1"/>
  <c r="AT2127" i="1"/>
  <c r="Y2126" i="1"/>
  <c r="X2126" i="1"/>
  <c r="AX2126" i="1"/>
  <c r="AW2126" i="1"/>
  <c r="AV2126" i="1"/>
  <c r="AU2126" i="1"/>
  <c r="AT2126" i="1"/>
  <c r="Y2125" i="1"/>
  <c r="X2125" i="1"/>
  <c r="AX2125" i="1"/>
  <c r="AW2125" i="1"/>
  <c r="AV2125" i="1"/>
  <c r="AU2125" i="1"/>
  <c r="AT2125" i="1"/>
  <c r="Y2124" i="1"/>
  <c r="X2124" i="1"/>
  <c r="AX2124" i="1"/>
  <c r="AW2124" i="1"/>
  <c r="AV2124" i="1"/>
  <c r="AU2124" i="1"/>
  <c r="AT2124" i="1"/>
  <c r="Y2122" i="1"/>
  <c r="X2122" i="1"/>
  <c r="AX2122" i="1"/>
  <c r="AW2122" i="1"/>
  <c r="AV2122" i="1"/>
  <c r="AU2122" i="1"/>
  <c r="AT2122" i="1"/>
  <c r="Y2121" i="1"/>
  <c r="X2121" i="1"/>
  <c r="AX2121" i="1"/>
  <c r="AW2121" i="1"/>
  <c r="AV2121" i="1"/>
  <c r="AU2121" i="1"/>
  <c r="AT2121" i="1"/>
  <c r="Y2120" i="1"/>
  <c r="X2120" i="1"/>
  <c r="AX2120" i="1"/>
  <c r="AW2120" i="1"/>
  <c r="AV2120" i="1"/>
  <c r="AU2120" i="1"/>
  <c r="AT2120" i="1"/>
  <c r="Y2119" i="1"/>
  <c r="X2119" i="1"/>
  <c r="AX2119" i="1"/>
  <c r="AW2119" i="1"/>
  <c r="AV2119" i="1"/>
  <c r="AU2119" i="1"/>
  <c r="AT2119" i="1"/>
  <c r="Y2118" i="1"/>
  <c r="X2118" i="1"/>
  <c r="AX2118" i="1"/>
  <c r="AW2118" i="1"/>
  <c r="AV2118" i="1"/>
  <c r="AU2118" i="1"/>
  <c r="AT2118" i="1"/>
  <c r="Y2116" i="1"/>
  <c r="X2116" i="1"/>
  <c r="AX2116" i="1"/>
  <c r="AW2116" i="1"/>
  <c r="AV2116" i="1"/>
  <c r="AU2116" i="1"/>
  <c r="AT2116" i="1"/>
  <c r="Y2114" i="1"/>
  <c r="X2114" i="1"/>
  <c r="AX2114" i="1"/>
  <c r="AW2114" i="1"/>
  <c r="AV2114" i="1"/>
  <c r="AU2114" i="1"/>
  <c r="AT2114" i="1"/>
  <c r="Y2113" i="1"/>
  <c r="X2113" i="1"/>
  <c r="AX2113" i="1"/>
  <c r="AW2113" i="1"/>
  <c r="AV2113" i="1"/>
  <c r="AU2113" i="1"/>
  <c r="AT2113" i="1"/>
  <c r="Y2112" i="1"/>
  <c r="X2112" i="1"/>
  <c r="AX2112" i="1"/>
  <c r="AW2112" i="1"/>
  <c r="AV2112" i="1"/>
  <c r="AU2112" i="1"/>
  <c r="AT2112" i="1"/>
  <c r="Y2111" i="1"/>
  <c r="X2111" i="1"/>
  <c r="AX2111" i="1"/>
  <c r="AW2111" i="1"/>
  <c r="AV2111" i="1"/>
  <c r="AU2111" i="1"/>
  <c r="AT2111" i="1"/>
  <c r="Y2110" i="1"/>
  <c r="X2110" i="1"/>
  <c r="AX2110" i="1"/>
  <c r="AW2110" i="1"/>
  <c r="AV2110" i="1"/>
  <c r="AU2110" i="1"/>
  <c r="AT2110" i="1"/>
  <c r="Y2109" i="1"/>
  <c r="X2109" i="1"/>
  <c r="AX2109" i="1"/>
  <c r="AW2109" i="1"/>
  <c r="AV2109" i="1"/>
  <c r="AU2109" i="1"/>
  <c r="AT2109" i="1"/>
  <c r="Y2108" i="1"/>
  <c r="X2108" i="1"/>
  <c r="AX2108" i="1"/>
  <c r="AW2108" i="1"/>
  <c r="AV2108" i="1"/>
  <c r="AU2108" i="1"/>
  <c r="AT2108" i="1"/>
  <c r="Y2107" i="1"/>
  <c r="X2107" i="1"/>
  <c r="AX2107" i="1"/>
  <c r="AW2107" i="1"/>
  <c r="AV2107" i="1"/>
  <c r="AU2107" i="1"/>
  <c r="AT2107" i="1"/>
  <c r="Y2106" i="1"/>
  <c r="X2106" i="1"/>
  <c r="AX2106" i="1"/>
  <c r="AW2106" i="1"/>
  <c r="AV2106" i="1"/>
  <c r="AU2106" i="1"/>
  <c r="AT2106" i="1"/>
  <c r="Y2105" i="1"/>
  <c r="X2105" i="1"/>
  <c r="AX2105" i="1"/>
  <c r="AW2105" i="1"/>
  <c r="AV2105" i="1"/>
  <c r="AU2105" i="1"/>
  <c r="AT2105" i="1"/>
  <c r="Y2104" i="1"/>
  <c r="X2104" i="1"/>
  <c r="AX2104" i="1"/>
  <c r="AW2104" i="1"/>
  <c r="AV2104" i="1"/>
  <c r="AU2104" i="1"/>
  <c r="AT2104" i="1"/>
  <c r="Y2103" i="1"/>
  <c r="X2103" i="1"/>
  <c r="AX2103" i="1"/>
  <c r="AW2103" i="1"/>
  <c r="AV2103" i="1"/>
  <c r="AU2103" i="1"/>
  <c r="AT2103" i="1"/>
  <c r="Y2102" i="1"/>
  <c r="X2102" i="1"/>
  <c r="AX2102" i="1"/>
  <c r="AW2102" i="1"/>
  <c r="AV2102" i="1"/>
  <c r="AU2102" i="1"/>
  <c r="AT2102" i="1"/>
  <c r="Y2101" i="1"/>
  <c r="X2101" i="1"/>
  <c r="AX2101" i="1"/>
  <c r="AW2101" i="1"/>
  <c r="AV2101" i="1"/>
  <c r="AU2101" i="1"/>
  <c r="AT2101" i="1"/>
  <c r="Y2100" i="1"/>
  <c r="X2100" i="1"/>
  <c r="AX2100" i="1"/>
  <c r="AW2100" i="1"/>
  <c r="AV2100" i="1"/>
  <c r="AU2100" i="1"/>
  <c r="AT2100" i="1"/>
  <c r="Y2099" i="1"/>
  <c r="X2099" i="1"/>
  <c r="AX2099" i="1"/>
  <c r="AW2099" i="1"/>
  <c r="AV2099" i="1"/>
  <c r="AU2099" i="1"/>
  <c r="AT2099" i="1"/>
  <c r="Y2098" i="1"/>
  <c r="X2098" i="1"/>
  <c r="AX2098" i="1"/>
  <c r="AW2098" i="1"/>
  <c r="AV2098" i="1"/>
  <c r="AU2098" i="1"/>
  <c r="AT2098" i="1"/>
  <c r="Y2097" i="1"/>
  <c r="X2097" i="1"/>
  <c r="AX2097" i="1"/>
  <c r="AW2097" i="1"/>
  <c r="AV2097" i="1"/>
  <c r="AU2097" i="1"/>
  <c r="AT2097" i="1"/>
  <c r="Y2096" i="1"/>
  <c r="X2096" i="1"/>
  <c r="AX2096" i="1"/>
  <c r="AW2096" i="1"/>
  <c r="AV2096" i="1"/>
  <c r="AU2096" i="1"/>
  <c r="AT2096" i="1"/>
  <c r="Y2095" i="1"/>
  <c r="X2095" i="1"/>
  <c r="AX2095" i="1"/>
  <c r="AW2095" i="1"/>
  <c r="AV2095" i="1"/>
  <c r="AU2095" i="1"/>
  <c r="AT2095" i="1"/>
  <c r="Y2094" i="1"/>
  <c r="X2094" i="1"/>
  <c r="AX2094" i="1"/>
  <c r="AW2094" i="1"/>
  <c r="AV2094" i="1"/>
  <c r="AU2094" i="1"/>
  <c r="AT2094" i="1"/>
  <c r="Y2093" i="1"/>
  <c r="X2093" i="1"/>
  <c r="AX2093" i="1"/>
  <c r="AW2093" i="1"/>
  <c r="AV2093" i="1"/>
  <c r="AU2093" i="1"/>
  <c r="AT2093" i="1"/>
  <c r="Y2092" i="1"/>
  <c r="X2092" i="1"/>
  <c r="AX2092" i="1"/>
  <c r="AW2092" i="1"/>
  <c r="AV2092" i="1"/>
  <c r="AU2092" i="1"/>
  <c r="AT2092" i="1"/>
  <c r="Y2090" i="1"/>
  <c r="X2090" i="1"/>
  <c r="AX2090" i="1"/>
  <c r="AW2090" i="1"/>
  <c r="AV2090" i="1"/>
  <c r="AU2090" i="1"/>
  <c r="AT2090" i="1"/>
  <c r="Y2089" i="1"/>
  <c r="X2089" i="1"/>
  <c r="AX2089" i="1"/>
  <c r="AW2089" i="1"/>
  <c r="AV2089" i="1"/>
  <c r="AU2089" i="1"/>
  <c r="AT2089" i="1"/>
  <c r="Y2088" i="1"/>
  <c r="X2088" i="1"/>
  <c r="AX2088" i="1"/>
  <c r="AW2088" i="1"/>
  <c r="AV2088" i="1"/>
  <c r="AU2088" i="1"/>
  <c r="AT2088" i="1"/>
  <c r="Y2087" i="1"/>
  <c r="X2087" i="1"/>
  <c r="AX2087" i="1"/>
  <c r="AW2087" i="1"/>
  <c r="AV2087" i="1"/>
  <c r="AU2087" i="1"/>
  <c r="AT2087" i="1"/>
  <c r="Y2086" i="1"/>
  <c r="X2086" i="1"/>
  <c r="AX2086" i="1"/>
  <c r="AW2086" i="1"/>
  <c r="AV2086" i="1"/>
  <c r="AU2086" i="1"/>
  <c r="AT2086" i="1"/>
  <c r="Y2085" i="1"/>
  <c r="X2085" i="1"/>
  <c r="AX2085" i="1"/>
  <c r="AW2085" i="1"/>
  <c r="AV2085" i="1"/>
  <c r="AU2085" i="1"/>
  <c r="AT2085" i="1"/>
  <c r="Y2084" i="1"/>
  <c r="X2084" i="1"/>
  <c r="AX2084" i="1"/>
  <c r="AW2084" i="1"/>
  <c r="AV2084" i="1"/>
  <c r="AU2084" i="1"/>
  <c r="AT2084" i="1"/>
  <c r="Y2083" i="1"/>
  <c r="X2083" i="1"/>
  <c r="AX2083" i="1"/>
  <c r="AW2083" i="1"/>
  <c r="AV2083" i="1"/>
  <c r="AU2083" i="1"/>
  <c r="AT2083" i="1"/>
  <c r="Y2082" i="1"/>
  <c r="X2082" i="1"/>
  <c r="AX2082" i="1"/>
  <c r="AW2082" i="1"/>
  <c r="AV2082" i="1"/>
  <c r="AU2082" i="1"/>
  <c r="AT2082" i="1"/>
  <c r="Y2081" i="1"/>
  <c r="X2081" i="1"/>
  <c r="AX2081" i="1"/>
  <c r="AW2081" i="1"/>
  <c r="AV2081" i="1"/>
  <c r="AU2081" i="1"/>
  <c r="AT2081" i="1"/>
  <c r="Y2080" i="1"/>
  <c r="X2080" i="1"/>
  <c r="AX2080" i="1"/>
  <c r="AW2080" i="1"/>
  <c r="AV2080" i="1"/>
  <c r="AU2080" i="1"/>
  <c r="AT2080" i="1"/>
  <c r="Y2079" i="1"/>
  <c r="X2079" i="1"/>
  <c r="AX2079" i="1"/>
  <c r="AW2079" i="1"/>
  <c r="AV2079" i="1"/>
  <c r="AU2079" i="1"/>
  <c r="AT2079" i="1"/>
  <c r="Y2077" i="1"/>
  <c r="X2077" i="1"/>
  <c r="AX2077" i="1"/>
  <c r="AW2077" i="1"/>
  <c r="AV2077" i="1"/>
  <c r="AU2077" i="1"/>
  <c r="AT2077" i="1"/>
  <c r="Y2075" i="1"/>
  <c r="X2075" i="1"/>
  <c r="AX2075" i="1"/>
  <c r="AW2075" i="1"/>
  <c r="AV2075" i="1"/>
  <c r="AU2075" i="1"/>
  <c r="AT2075" i="1"/>
  <c r="Y2074" i="1"/>
  <c r="X2074" i="1"/>
  <c r="AX2074" i="1"/>
  <c r="AW2074" i="1"/>
  <c r="AV2074" i="1"/>
  <c r="AU2074" i="1"/>
  <c r="AT2074" i="1"/>
  <c r="Y2073" i="1"/>
  <c r="X2073" i="1"/>
  <c r="AX2073" i="1"/>
  <c r="AW2073" i="1"/>
  <c r="AV2073" i="1"/>
  <c r="AU2073" i="1"/>
  <c r="AT2073" i="1"/>
  <c r="Y2072" i="1"/>
  <c r="X2072" i="1"/>
  <c r="AX2072" i="1"/>
  <c r="AW2072" i="1"/>
  <c r="AV2072" i="1"/>
  <c r="AU2072" i="1"/>
  <c r="AT2072" i="1"/>
  <c r="Y2071" i="1"/>
  <c r="X2071" i="1"/>
  <c r="AX2071" i="1"/>
  <c r="AW2071" i="1"/>
  <c r="AV2071" i="1"/>
  <c r="AU2071" i="1"/>
  <c r="AT2071" i="1"/>
  <c r="Y2070" i="1"/>
  <c r="X2070" i="1"/>
  <c r="AX2070" i="1"/>
  <c r="AW2070" i="1"/>
  <c r="AV2070" i="1"/>
  <c r="AU2070" i="1"/>
  <c r="AT2070" i="1"/>
  <c r="Y2069" i="1"/>
  <c r="X2069" i="1"/>
  <c r="AX2069" i="1"/>
  <c r="AW2069" i="1"/>
  <c r="AV2069" i="1"/>
  <c r="AU2069" i="1"/>
  <c r="AT2069" i="1"/>
  <c r="Y2067" i="1"/>
  <c r="X2067" i="1"/>
  <c r="AX2067" i="1"/>
  <c r="AW2067" i="1"/>
  <c r="AV2067" i="1"/>
  <c r="AU2067" i="1"/>
  <c r="AT2067" i="1"/>
  <c r="Y2066" i="1"/>
  <c r="X2066" i="1"/>
  <c r="AX2066" i="1"/>
  <c r="AW2066" i="1"/>
  <c r="AV2066" i="1"/>
  <c r="AU2066" i="1"/>
  <c r="AT2066" i="1"/>
  <c r="Y2064" i="1"/>
  <c r="X2064" i="1"/>
  <c r="AX2064" i="1"/>
  <c r="AW2064" i="1"/>
  <c r="AV2064" i="1"/>
  <c r="AU2064" i="1"/>
  <c r="AT2064" i="1"/>
  <c r="Y2063" i="1"/>
  <c r="X2063" i="1"/>
  <c r="AX2063" i="1"/>
  <c r="AW2063" i="1"/>
  <c r="AV2063" i="1"/>
  <c r="AU2063" i="1"/>
  <c r="AT2063" i="1"/>
  <c r="Y2062" i="1"/>
  <c r="X2062" i="1"/>
  <c r="AX2062" i="1"/>
  <c r="AW2062" i="1"/>
  <c r="AV2062" i="1"/>
  <c r="AU2062" i="1"/>
  <c r="AT2062" i="1"/>
  <c r="Y2061" i="1"/>
  <c r="X2061" i="1"/>
  <c r="AX2061" i="1"/>
  <c r="AW2061" i="1"/>
  <c r="AV2061" i="1"/>
  <c r="AU2061" i="1"/>
  <c r="AT2061" i="1"/>
  <c r="Y2060" i="1"/>
  <c r="X2060" i="1"/>
  <c r="AX2060" i="1"/>
  <c r="AW2060" i="1"/>
  <c r="AV2060" i="1"/>
  <c r="AU2060" i="1"/>
  <c r="AT2060" i="1"/>
  <c r="Y2059" i="1"/>
  <c r="X2059" i="1"/>
  <c r="AX2059" i="1"/>
  <c r="AW2059" i="1"/>
  <c r="AV2059" i="1"/>
  <c r="AU2059" i="1"/>
  <c r="AT2059" i="1"/>
  <c r="Y2058" i="1"/>
  <c r="X2058" i="1"/>
  <c r="AX2058" i="1"/>
  <c r="AW2058" i="1"/>
  <c r="AV2058" i="1"/>
  <c r="AU2058" i="1"/>
  <c r="AT2058" i="1"/>
  <c r="Y2057" i="1"/>
  <c r="X2057" i="1"/>
  <c r="AX2057" i="1"/>
  <c r="AW2057" i="1"/>
  <c r="AV2057" i="1"/>
  <c r="AU2057" i="1"/>
  <c r="AT2057" i="1"/>
  <c r="Y2056" i="1"/>
  <c r="X2056" i="1"/>
  <c r="AX2056" i="1"/>
  <c r="AW2056" i="1"/>
  <c r="AV2056" i="1"/>
  <c r="AU2056" i="1"/>
  <c r="AT2056" i="1"/>
  <c r="Y2055" i="1"/>
  <c r="X2055" i="1"/>
  <c r="AX2055" i="1"/>
  <c r="AW2055" i="1"/>
  <c r="AV2055" i="1"/>
  <c r="AU2055" i="1"/>
  <c r="AT2055" i="1"/>
  <c r="Y2054" i="1"/>
  <c r="X2054" i="1"/>
  <c r="AX2054" i="1"/>
  <c r="AW2054" i="1"/>
  <c r="AV2054" i="1"/>
  <c r="AU2054" i="1"/>
  <c r="AT2054" i="1"/>
  <c r="Y2053" i="1"/>
  <c r="X2053" i="1"/>
  <c r="AX2053" i="1"/>
  <c r="AW2053" i="1"/>
  <c r="AV2053" i="1"/>
  <c r="AU2053" i="1"/>
  <c r="AT2053" i="1"/>
  <c r="Y2052" i="1"/>
  <c r="X2052" i="1"/>
  <c r="AX2052" i="1"/>
  <c r="AW2052" i="1"/>
  <c r="AV2052" i="1"/>
  <c r="AU2052" i="1"/>
  <c r="AT2052" i="1"/>
  <c r="Y2051" i="1"/>
  <c r="X2051" i="1"/>
  <c r="AX2051" i="1"/>
  <c r="AW2051" i="1"/>
  <c r="AV2051" i="1"/>
  <c r="AU2051" i="1"/>
  <c r="AT2051" i="1"/>
  <c r="Y2050" i="1"/>
  <c r="X2050" i="1"/>
  <c r="AX2050" i="1"/>
  <c r="AW2050" i="1"/>
  <c r="AV2050" i="1"/>
  <c r="AU2050" i="1"/>
  <c r="AT2050" i="1"/>
  <c r="Y2049" i="1"/>
  <c r="X2049" i="1"/>
  <c r="AX2049" i="1"/>
  <c r="AW2049" i="1"/>
  <c r="AV2049" i="1"/>
  <c r="AU2049" i="1"/>
  <c r="AT2049" i="1"/>
  <c r="Y2048" i="1"/>
  <c r="X2048" i="1"/>
  <c r="AX2048" i="1"/>
  <c r="AW2048" i="1"/>
  <c r="AV2048" i="1"/>
  <c r="AU2048" i="1"/>
  <c r="AT2048" i="1"/>
  <c r="Y2047" i="1"/>
  <c r="X2047" i="1"/>
  <c r="AX2047" i="1"/>
  <c r="AW2047" i="1"/>
  <c r="AV2047" i="1"/>
  <c r="AU2047" i="1"/>
  <c r="AT2047" i="1"/>
  <c r="Y2046" i="1"/>
  <c r="X2046" i="1"/>
  <c r="AX2046" i="1"/>
  <c r="AW2046" i="1"/>
  <c r="AV2046" i="1"/>
  <c r="AU2046" i="1"/>
  <c r="AT2046" i="1"/>
  <c r="Y2044" i="1"/>
  <c r="X2044" i="1"/>
  <c r="AX2044" i="1"/>
  <c r="AW2044" i="1"/>
  <c r="AV2044" i="1"/>
  <c r="AU2044" i="1"/>
  <c r="AT2044" i="1"/>
  <c r="Y2043" i="1"/>
  <c r="X2043" i="1"/>
  <c r="AX2043" i="1"/>
  <c r="AW2043" i="1"/>
  <c r="AV2043" i="1"/>
  <c r="AU2043" i="1"/>
  <c r="AT2043" i="1"/>
  <c r="Y2042" i="1"/>
  <c r="X2042" i="1"/>
  <c r="AX2042" i="1"/>
  <c r="AW2042" i="1"/>
  <c r="AV2042" i="1"/>
  <c r="AU2042" i="1"/>
  <c r="AT2042" i="1"/>
  <c r="Y2041" i="1"/>
  <c r="X2041" i="1"/>
  <c r="AX2041" i="1"/>
  <c r="AW2041" i="1"/>
  <c r="AV2041" i="1"/>
  <c r="AU2041" i="1"/>
  <c r="AT2041" i="1"/>
  <c r="Y2040" i="1"/>
  <c r="X2040" i="1"/>
  <c r="AX2040" i="1"/>
  <c r="AW2040" i="1"/>
  <c r="AV2040" i="1"/>
  <c r="AU2040" i="1"/>
  <c r="AT2040" i="1"/>
  <c r="Y2039" i="1"/>
  <c r="X2039" i="1"/>
  <c r="AX2039" i="1"/>
  <c r="AW2039" i="1"/>
  <c r="AV2039" i="1"/>
  <c r="AU2039" i="1"/>
  <c r="AT2039" i="1"/>
  <c r="Y2038" i="1"/>
  <c r="X2038" i="1"/>
  <c r="AX2038" i="1"/>
  <c r="AW2038" i="1"/>
  <c r="AV2038" i="1"/>
  <c r="AU2038" i="1"/>
  <c r="AT2038" i="1"/>
  <c r="Y2037" i="1"/>
  <c r="X2037" i="1"/>
  <c r="AX2037" i="1"/>
  <c r="AW2037" i="1"/>
  <c r="AV2037" i="1"/>
  <c r="AU2037" i="1"/>
  <c r="AT2037" i="1"/>
  <c r="Y2036" i="1"/>
  <c r="X2036" i="1"/>
  <c r="AX2036" i="1"/>
  <c r="AW2036" i="1"/>
  <c r="AV2036" i="1"/>
  <c r="AU2036" i="1"/>
  <c r="AT2036" i="1"/>
  <c r="Y2035" i="1"/>
  <c r="X2035" i="1"/>
  <c r="AX2035" i="1"/>
  <c r="AW2035" i="1"/>
  <c r="AV2035" i="1"/>
  <c r="AU2035" i="1"/>
  <c r="AT2035" i="1"/>
  <c r="Y2034" i="1"/>
  <c r="X2034" i="1"/>
  <c r="AX2034" i="1"/>
  <c r="AW2034" i="1"/>
  <c r="AV2034" i="1"/>
  <c r="AU2034" i="1"/>
  <c r="AT2034" i="1"/>
  <c r="Y2033" i="1"/>
  <c r="X2033" i="1"/>
  <c r="AX2033" i="1"/>
  <c r="AW2033" i="1"/>
  <c r="AV2033" i="1"/>
  <c r="AU2033" i="1"/>
  <c r="AT2033" i="1"/>
  <c r="Y2032" i="1"/>
  <c r="X2032" i="1"/>
  <c r="AX2032" i="1"/>
  <c r="AW2032" i="1"/>
  <c r="AV2032" i="1"/>
  <c r="AU2032" i="1"/>
  <c r="AT2032" i="1"/>
  <c r="Y2031" i="1"/>
  <c r="X2031" i="1"/>
  <c r="AX2031" i="1"/>
  <c r="AW2031" i="1"/>
  <c r="AV2031" i="1"/>
  <c r="AU2031" i="1"/>
  <c r="AT2031" i="1"/>
  <c r="Y2030" i="1"/>
  <c r="X2030" i="1"/>
  <c r="AX2030" i="1"/>
  <c r="AW2030" i="1"/>
  <c r="AV2030" i="1"/>
  <c r="AU2030" i="1"/>
  <c r="AT2030" i="1"/>
  <c r="Y2029" i="1"/>
  <c r="X2029" i="1"/>
  <c r="AX2029" i="1"/>
  <c r="AW2029" i="1"/>
  <c r="AV2029" i="1"/>
  <c r="AU2029" i="1"/>
  <c r="AT2029" i="1"/>
  <c r="Y2028" i="1"/>
  <c r="X2028" i="1"/>
  <c r="AX2028" i="1"/>
  <c r="AW2028" i="1"/>
  <c r="AV2028" i="1"/>
  <c r="AU2028" i="1"/>
  <c r="AT2028" i="1"/>
  <c r="Y2027" i="1"/>
  <c r="X2027" i="1"/>
  <c r="AX2027" i="1"/>
  <c r="AW2027" i="1"/>
  <c r="AV2027" i="1"/>
  <c r="AU2027" i="1"/>
  <c r="AT2027" i="1"/>
  <c r="Y2026" i="1"/>
  <c r="X2026" i="1"/>
  <c r="AX2026" i="1"/>
  <c r="AW2026" i="1"/>
  <c r="AV2026" i="1"/>
  <c r="AU2026" i="1"/>
  <c r="AT2026" i="1"/>
  <c r="Y2025" i="1"/>
  <c r="X2025" i="1"/>
  <c r="AX2025" i="1"/>
  <c r="AW2025" i="1"/>
  <c r="AV2025" i="1"/>
  <c r="AU2025" i="1"/>
  <c r="AT2025" i="1"/>
  <c r="Y2024" i="1"/>
  <c r="X2024" i="1"/>
  <c r="AX2024" i="1"/>
  <c r="AW2024" i="1"/>
  <c r="AV2024" i="1"/>
  <c r="AU2024" i="1"/>
  <c r="AT2024" i="1"/>
  <c r="Y2023" i="1"/>
  <c r="X2023" i="1"/>
  <c r="AX2023" i="1"/>
  <c r="AW2023" i="1"/>
  <c r="AV2023" i="1"/>
  <c r="AU2023" i="1"/>
  <c r="AT2023" i="1"/>
  <c r="Y2022" i="1"/>
  <c r="X2022" i="1"/>
  <c r="AX2022" i="1"/>
  <c r="AW2022" i="1"/>
  <c r="AV2022" i="1"/>
  <c r="AU2022" i="1"/>
  <c r="AT2022" i="1"/>
  <c r="Y2021" i="1"/>
  <c r="X2021" i="1"/>
  <c r="AX2021" i="1"/>
  <c r="AW2021" i="1"/>
  <c r="AV2021" i="1"/>
  <c r="AU2021" i="1"/>
  <c r="AT2021" i="1"/>
  <c r="Y2020" i="1"/>
  <c r="X2020" i="1"/>
  <c r="AX2020" i="1"/>
  <c r="AW2020" i="1"/>
  <c r="AV2020" i="1"/>
  <c r="AU2020" i="1"/>
  <c r="AT2020" i="1"/>
  <c r="Y2019" i="1"/>
  <c r="X2019" i="1"/>
  <c r="AX2019" i="1"/>
  <c r="AW2019" i="1"/>
  <c r="AV2019" i="1"/>
  <c r="AU2019" i="1"/>
  <c r="AT2019" i="1"/>
  <c r="Y2017" i="1"/>
  <c r="X2017" i="1"/>
  <c r="AX2017" i="1"/>
  <c r="AW2017" i="1"/>
  <c r="AV2017" i="1"/>
  <c r="AU2017" i="1"/>
  <c r="AT2017" i="1"/>
  <c r="Y2016" i="1"/>
  <c r="X2016" i="1"/>
  <c r="AX2016" i="1"/>
  <c r="AW2016" i="1"/>
  <c r="AV2016" i="1"/>
  <c r="AU2016" i="1"/>
  <c r="AT2016" i="1"/>
  <c r="Y2015" i="1"/>
  <c r="X2015" i="1"/>
  <c r="AX2015" i="1"/>
  <c r="AW2015" i="1"/>
  <c r="AV2015" i="1"/>
  <c r="AU2015" i="1"/>
  <c r="AT2015" i="1"/>
  <c r="Y2014" i="1"/>
  <c r="X2014" i="1"/>
  <c r="AX2014" i="1"/>
  <c r="AW2014" i="1"/>
  <c r="AV2014" i="1"/>
  <c r="AU2014" i="1"/>
  <c r="AT2014" i="1"/>
  <c r="Y2013" i="1"/>
  <c r="X2013" i="1"/>
  <c r="AX2013" i="1"/>
  <c r="AW2013" i="1"/>
  <c r="AV2013" i="1"/>
  <c r="AU2013" i="1"/>
  <c r="AT2013" i="1"/>
  <c r="Y2011" i="1"/>
  <c r="X2011" i="1"/>
  <c r="AX2011" i="1"/>
  <c r="AW2011" i="1"/>
  <c r="AV2011" i="1"/>
  <c r="AU2011" i="1"/>
  <c r="AT2011" i="1"/>
  <c r="Y2010" i="1"/>
  <c r="X2010" i="1"/>
  <c r="AX2010" i="1"/>
  <c r="AW2010" i="1"/>
  <c r="AV2010" i="1"/>
  <c r="AU2010" i="1"/>
  <c r="AT2010" i="1"/>
  <c r="Y2009" i="1"/>
  <c r="X2009" i="1"/>
  <c r="AX2009" i="1"/>
  <c r="AW2009" i="1"/>
  <c r="AV2009" i="1"/>
  <c r="AU2009" i="1"/>
  <c r="AT2009" i="1"/>
  <c r="Y2008" i="1"/>
  <c r="X2008" i="1"/>
  <c r="AX2008" i="1"/>
  <c r="AW2008" i="1"/>
  <c r="AV2008" i="1"/>
  <c r="AU2008" i="1"/>
  <c r="AT2008" i="1"/>
  <c r="Y2007" i="1"/>
  <c r="X2007" i="1"/>
  <c r="AX2007" i="1"/>
  <c r="AW2007" i="1"/>
  <c r="AV2007" i="1"/>
  <c r="AU2007" i="1"/>
  <c r="AT2007" i="1"/>
  <c r="Y2005" i="1"/>
  <c r="X2005" i="1"/>
  <c r="AX2005" i="1"/>
  <c r="AW2005" i="1"/>
  <c r="AV2005" i="1"/>
  <c r="AU2005" i="1"/>
  <c r="AT2005" i="1"/>
  <c r="Y2004" i="1"/>
  <c r="X2004" i="1"/>
  <c r="AX2004" i="1"/>
  <c r="AW2004" i="1"/>
  <c r="AV2004" i="1"/>
  <c r="AU2004" i="1"/>
  <c r="AT2004" i="1"/>
  <c r="Y2003" i="1"/>
  <c r="X2003" i="1"/>
  <c r="AX2003" i="1"/>
  <c r="AW2003" i="1"/>
  <c r="AV2003" i="1"/>
  <c r="AU2003" i="1"/>
  <c r="AT2003" i="1"/>
  <c r="Y2001" i="1"/>
  <c r="X2001" i="1"/>
  <c r="AX2001" i="1"/>
  <c r="AW2001" i="1"/>
  <c r="AV2001" i="1"/>
  <c r="AU2001" i="1"/>
  <c r="AT2001" i="1"/>
  <c r="Y2000" i="1"/>
  <c r="X2000" i="1"/>
  <c r="AX2000" i="1"/>
  <c r="AW2000" i="1"/>
  <c r="AV2000" i="1"/>
  <c r="AU2000" i="1"/>
  <c r="AT2000" i="1"/>
  <c r="Y1999" i="1"/>
  <c r="X1999" i="1"/>
  <c r="AX1999" i="1"/>
  <c r="AW1999" i="1"/>
  <c r="AV1999" i="1"/>
  <c r="AU1999" i="1"/>
  <c r="AT1999" i="1"/>
  <c r="Y1998" i="1"/>
  <c r="X1998" i="1"/>
  <c r="AX1998" i="1"/>
  <c r="AW1998" i="1"/>
  <c r="AV1998" i="1"/>
  <c r="AU1998" i="1"/>
  <c r="AT1998" i="1"/>
  <c r="Y1997" i="1"/>
  <c r="X1997" i="1"/>
  <c r="AX1997" i="1"/>
  <c r="AW1997" i="1"/>
  <c r="AV1997" i="1"/>
  <c r="AU1997" i="1"/>
  <c r="AT1997" i="1"/>
  <c r="Y1996" i="1"/>
  <c r="X1996" i="1"/>
  <c r="AX1996" i="1"/>
  <c r="AW1996" i="1"/>
  <c r="AV1996" i="1"/>
  <c r="AU1996" i="1"/>
  <c r="AT1996" i="1"/>
  <c r="Y1995" i="1"/>
  <c r="X1995" i="1"/>
  <c r="AX1995" i="1"/>
  <c r="AW1995" i="1"/>
  <c r="AV1995" i="1"/>
  <c r="AU1995" i="1"/>
  <c r="AT1995" i="1"/>
  <c r="Y1994" i="1"/>
  <c r="X1994" i="1"/>
  <c r="AX1994" i="1"/>
  <c r="AW1994" i="1"/>
  <c r="AV1994" i="1"/>
  <c r="AU1994" i="1"/>
  <c r="AT1994" i="1"/>
  <c r="Y1993" i="1"/>
  <c r="X1993" i="1"/>
  <c r="AX1993" i="1"/>
  <c r="AW1993" i="1"/>
  <c r="AV1993" i="1"/>
  <c r="AU1993" i="1"/>
  <c r="AT1993" i="1"/>
  <c r="Y1992" i="1"/>
  <c r="X1992" i="1"/>
  <c r="AX1992" i="1"/>
  <c r="AW1992" i="1"/>
  <c r="AV1992" i="1"/>
  <c r="AU1992" i="1"/>
  <c r="AT1992" i="1"/>
  <c r="Y1991" i="1"/>
  <c r="X1991" i="1"/>
  <c r="AX1991" i="1"/>
  <c r="AW1991" i="1"/>
  <c r="AV1991" i="1"/>
  <c r="AU1991" i="1"/>
  <c r="AT1991" i="1"/>
  <c r="Y1990" i="1"/>
  <c r="X1990" i="1"/>
  <c r="AX1990" i="1"/>
  <c r="AW1990" i="1"/>
  <c r="AV1990" i="1"/>
  <c r="AU1990" i="1"/>
  <c r="AT1990" i="1"/>
  <c r="Y1989" i="1"/>
  <c r="X1989" i="1"/>
  <c r="AX1989" i="1"/>
  <c r="AW1989" i="1"/>
  <c r="AV1989" i="1"/>
  <c r="AU1989" i="1"/>
  <c r="AT1989" i="1"/>
  <c r="Y1988" i="1"/>
  <c r="X1988" i="1"/>
  <c r="AX1988" i="1"/>
  <c r="AW1988" i="1"/>
  <c r="AV1988" i="1"/>
  <c r="AU1988" i="1"/>
  <c r="AT1988" i="1"/>
  <c r="Y1986" i="1"/>
  <c r="X1986" i="1"/>
  <c r="AX1986" i="1"/>
  <c r="AW1986" i="1"/>
  <c r="AV1986" i="1"/>
  <c r="AU1986" i="1"/>
  <c r="AT1986" i="1"/>
  <c r="Y1985" i="1"/>
  <c r="X1985" i="1"/>
  <c r="AX1985" i="1"/>
  <c r="AW1985" i="1"/>
  <c r="AV1985" i="1"/>
  <c r="AU1985" i="1"/>
  <c r="AT1985" i="1"/>
  <c r="Y1984" i="1"/>
  <c r="X1984" i="1"/>
  <c r="AX1984" i="1"/>
  <c r="AW1984" i="1"/>
  <c r="AV1984" i="1"/>
  <c r="AU1984" i="1"/>
  <c r="AT1984" i="1"/>
  <c r="Y1983" i="1"/>
  <c r="X1983" i="1"/>
  <c r="AX1983" i="1"/>
  <c r="AW1983" i="1"/>
  <c r="AV1983" i="1"/>
  <c r="AU1983" i="1"/>
  <c r="AT1983" i="1"/>
  <c r="Y1982" i="1"/>
  <c r="X1982" i="1"/>
  <c r="AX1982" i="1"/>
  <c r="AW1982" i="1"/>
  <c r="AV1982" i="1"/>
  <c r="AU1982" i="1"/>
  <c r="AT1982" i="1"/>
  <c r="Y1981" i="1"/>
  <c r="X1981" i="1"/>
  <c r="AX1981" i="1"/>
  <c r="AW1981" i="1"/>
  <c r="AV1981" i="1"/>
  <c r="AU1981" i="1"/>
  <c r="AT1981" i="1"/>
  <c r="Y1980" i="1"/>
  <c r="X1980" i="1"/>
  <c r="AX1980" i="1"/>
  <c r="AW1980" i="1"/>
  <c r="AV1980" i="1"/>
  <c r="AU1980" i="1"/>
  <c r="AT1980" i="1"/>
  <c r="Y1979" i="1"/>
  <c r="X1979" i="1"/>
  <c r="AX1979" i="1"/>
  <c r="AW1979" i="1"/>
  <c r="AV1979" i="1"/>
  <c r="AU1979" i="1"/>
  <c r="AT1979" i="1"/>
  <c r="Y1978" i="1"/>
  <c r="X1978" i="1"/>
  <c r="AX1978" i="1"/>
  <c r="AW1978" i="1"/>
  <c r="AV1978" i="1"/>
  <c r="AU1978" i="1"/>
  <c r="AT1978" i="1"/>
  <c r="Y1977" i="1"/>
  <c r="X1977" i="1"/>
  <c r="AX1977" i="1"/>
  <c r="AW1977" i="1"/>
  <c r="AV1977" i="1"/>
  <c r="AU1977" i="1"/>
  <c r="AT1977" i="1"/>
  <c r="Y1976" i="1"/>
  <c r="X1976" i="1"/>
  <c r="AX1976" i="1"/>
  <c r="AW1976" i="1"/>
  <c r="AV1976" i="1"/>
  <c r="AU1976" i="1"/>
  <c r="AT1976" i="1"/>
  <c r="Y1975" i="1"/>
  <c r="X1975" i="1"/>
  <c r="AX1975" i="1"/>
  <c r="AW1975" i="1"/>
  <c r="AV1975" i="1"/>
  <c r="AU1975" i="1"/>
  <c r="AT1975" i="1"/>
  <c r="Y1974" i="1"/>
  <c r="X1974" i="1"/>
  <c r="AX1974" i="1"/>
  <c r="AW1974" i="1"/>
  <c r="AV1974" i="1"/>
  <c r="AU1974" i="1"/>
  <c r="AT1974" i="1"/>
  <c r="Y1973" i="1"/>
  <c r="X1973" i="1"/>
  <c r="AX1973" i="1"/>
  <c r="AW1973" i="1"/>
  <c r="AV1973" i="1"/>
  <c r="AU1973" i="1"/>
  <c r="AT1973" i="1"/>
  <c r="Y1972" i="1"/>
  <c r="X1972" i="1"/>
  <c r="AX1972" i="1"/>
  <c r="AW1972" i="1"/>
  <c r="AV1972" i="1"/>
  <c r="AU1972" i="1"/>
  <c r="AT1972" i="1"/>
  <c r="Y1971" i="1"/>
  <c r="X1971" i="1"/>
  <c r="AX1971" i="1"/>
  <c r="AW1971" i="1"/>
  <c r="AV1971" i="1"/>
  <c r="AU1971" i="1"/>
  <c r="AT1971" i="1"/>
  <c r="Y1970" i="1"/>
  <c r="X1970" i="1"/>
  <c r="AX1970" i="1"/>
  <c r="AW1970" i="1"/>
  <c r="AV1970" i="1"/>
  <c r="AU1970" i="1"/>
  <c r="AT1970" i="1"/>
  <c r="Y1969" i="1"/>
  <c r="X1969" i="1"/>
  <c r="AX1969" i="1"/>
  <c r="AW1969" i="1"/>
  <c r="AV1969" i="1"/>
  <c r="AU1969" i="1"/>
  <c r="AT1969" i="1"/>
  <c r="Y1968" i="1"/>
  <c r="X1968" i="1"/>
  <c r="AX1968" i="1"/>
  <c r="AW1968" i="1"/>
  <c r="AV1968" i="1"/>
  <c r="AU1968" i="1"/>
  <c r="AT1968" i="1"/>
  <c r="Y1967" i="1"/>
  <c r="X1967" i="1"/>
  <c r="AX1967" i="1"/>
  <c r="AW1967" i="1"/>
  <c r="AV1967" i="1"/>
  <c r="AU1967" i="1"/>
  <c r="AT1967" i="1"/>
  <c r="Y1966" i="1"/>
  <c r="X1966" i="1"/>
  <c r="AX1966" i="1"/>
  <c r="AW1966" i="1"/>
  <c r="AV1966" i="1"/>
  <c r="AU1966" i="1"/>
  <c r="AT1966" i="1"/>
  <c r="Y1965" i="1"/>
  <c r="X1965" i="1"/>
  <c r="AX1965" i="1"/>
  <c r="AW1965" i="1"/>
  <c r="AV1965" i="1"/>
  <c r="AU1965" i="1"/>
  <c r="AT1965" i="1"/>
  <c r="Y1964" i="1"/>
  <c r="X1964" i="1"/>
  <c r="AX1964" i="1"/>
  <c r="AW1964" i="1"/>
  <c r="AV1964" i="1"/>
  <c r="AU1964" i="1"/>
  <c r="AT1964" i="1"/>
  <c r="Y1963" i="1"/>
  <c r="X1963" i="1"/>
  <c r="AX1963" i="1"/>
  <c r="AW1963" i="1"/>
  <c r="AV1963" i="1"/>
  <c r="AU1963" i="1"/>
  <c r="AT1963" i="1"/>
  <c r="Y1962" i="1"/>
  <c r="X1962" i="1"/>
  <c r="AX1962" i="1"/>
  <c r="AW1962" i="1"/>
  <c r="AV1962" i="1"/>
  <c r="AU1962" i="1"/>
  <c r="AT1962" i="1"/>
  <c r="Y1961" i="1"/>
  <c r="X1961" i="1"/>
  <c r="AX1961" i="1"/>
  <c r="AW1961" i="1"/>
  <c r="AV1961" i="1"/>
  <c r="AU1961" i="1"/>
  <c r="AT1961" i="1"/>
  <c r="Y1960" i="1"/>
  <c r="X1960" i="1"/>
  <c r="AX1960" i="1"/>
  <c r="AW1960" i="1"/>
  <c r="AV1960" i="1"/>
  <c r="AU1960" i="1"/>
  <c r="AT1960" i="1"/>
  <c r="Y1959" i="1"/>
  <c r="X1959" i="1"/>
  <c r="AX1959" i="1"/>
  <c r="AW1959" i="1"/>
  <c r="AV1959" i="1"/>
  <c r="AU1959" i="1"/>
  <c r="AT1959" i="1"/>
  <c r="Y1958" i="1"/>
  <c r="X1958" i="1"/>
  <c r="AX1958" i="1"/>
  <c r="AW1958" i="1"/>
  <c r="AV1958" i="1"/>
  <c r="AU1958" i="1"/>
  <c r="AT1958" i="1"/>
  <c r="Y1957" i="1"/>
  <c r="X1957" i="1"/>
  <c r="AX1957" i="1"/>
  <c r="AW1957" i="1"/>
  <c r="AV1957" i="1"/>
  <c r="AU1957" i="1"/>
  <c r="AT1957" i="1"/>
  <c r="Y1956" i="1"/>
  <c r="X1956" i="1"/>
  <c r="AX1956" i="1"/>
  <c r="AW1956" i="1"/>
  <c r="AV1956" i="1"/>
  <c r="AU1956" i="1"/>
  <c r="AT1956" i="1"/>
  <c r="Y1955" i="1"/>
  <c r="X1955" i="1"/>
  <c r="AX1955" i="1"/>
  <c r="AW1955" i="1"/>
  <c r="AV1955" i="1"/>
  <c r="AU1955" i="1"/>
  <c r="AT1955" i="1"/>
  <c r="Y1954" i="1"/>
  <c r="X1954" i="1"/>
  <c r="AX1954" i="1"/>
  <c r="AW1954" i="1"/>
  <c r="AV1954" i="1"/>
  <c r="AU1954" i="1"/>
  <c r="AT1954" i="1"/>
  <c r="Y1953" i="1"/>
  <c r="X1953" i="1"/>
  <c r="AX1953" i="1"/>
  <c r="AW1953" i="1"/>
  <c r="AV1953" i="1"/>
  <c r="AU1953" i="1"/>
  <c r="AT1953" i="1"/>
  <c r="Y1952" i="1"/>
  <c r="X1952" i="1"/>
  <c r="AX1952" i="1"/>
  <c r="AW1952" i="1"/>
  <c r="AV1952" i="1"/>
  <c r="AU1952" i="1"/>
  <c r="AT1952" i="1"/>
  <c r="Y1951" i="1"/>
  <c r="X1951" i="1"/>
  <c r="AX1951" i="1"/>
  <c r="AW1951" i="1"/>
  <c r="AV1951" i="1"/>
  <c r="AU1951" i="1"/>
  <c r="AT1951" i="1"/>
  <c r="Y1950" i="1"/>
  <c r="X1950" i="1"/>
  <c r="AX1950" i="1"/>
  <c r="AW1950" i="1"/>
  <c r="AV1950" i="1"/>
  <c r="AU1950" i="1"/>
  <c r="AT1950" i="1"/>
  <c r="Y1949" i="1"/>
  <c r="X1949" i="1"/>
  <c r="AX1949" i="1"/>
  <c r="AW1949" i="1"/>
  <c r="AV1949" i="1"/>
  <c r="AU1949" i="1"/>
  <c r="AT1949" i="1"/>
  <c r="Y1948" i="1"/>
  <c r="X1948" i="1"/>
  <c r="AX1948" i="1"/>
  <c r="AW1948" i="1"/>
  <c r="AV1948" i="1"/>
  <c r="AU1948" i="1"/>
  <c r="AT1948" i="1"/>
  <c r="Y1947" i="1"/>
  <c r="X1947" i="1"/>
  <c r="AX1947" i="1"/>
  <c r="AW1947" i="1"/>
  <c r="AV1947" i="1"/>
  <c r="AU1947" i="1"/>
  <c r="AT1947" i="1"/>
  <c r="Y1946" i="1"/>
  <c r="X1946" i="1"/>
  <c r="AX1946" i="1"/>
  <c r="AW1946" i="1"/>
  <c r="AV1946" i="1"/>
  <c r="AU1946" i="1"/>
  <c r="AT1946" i="1"/>
  <c r="Y1945" i="1"/>
  <c r="X1945" i="1"/>
  <c r="AX1945" i="1"/>
  <c r="AW1945" i="1"/>
  <c r="AV1945" i="1"/>
  <c r="AU1945" i="1"/>
  <c r="AT1945" i="1"/>
  <c r="Y1944" i="1"/>
  <c r="X1944" i="1"/>
  <c r="AX1944" i="1"/>
  <c r="AW1944" i="1"/>
  <c r="AV1944" i="1"/>
  <c r="AU1944" i="1"/>
  <c r="AT1944" i="1"/>
  <c r="Y1943" i="1"/>
  <c r="X1943" i="1"/>
  <c r="AX1943" i="1"/>
  <c r="AW1943" i="1"/>
  <c r="AV1943" i="1"/>
  <c r="AU1943" i="1"/>
  <c r="AT1943" i="1"/>
  <c r="Y1942" i="1"/>
  <c r="X1942" i="1"/>
  <c r="AX1942" i="1"/>
  <c r="AW1942" i="1"/>
  <c r="AV1942" i="1"/>
  <c r="AU1942" i="1"/>
  <c r="AT1942" i="1"/>
  <c r="Y1941" i="1"/>
  <c r="X1941" i="1"/>
  <c r="AX1941" i="1"/>
  <c r="AW1941" i="1"/>
  <c r="AV1941" i="1"/>
  <c r="AU1941" i="1"/>
  <c r="AT1941" i="1"/>
  <c r="Y1940" i="1"/>
  <c r="X1940" i="1"/>
  <c r="AX1940" i="1"/>
  <c r="AW1940" i="1"/>
  <c r="AV1940" i="1"/>
  <c r="AU1940" i="1"/>
  <c r="AT1940" i="1"/>
  <c r="Y1939" i="1"/>
  <c r="X1939" i="1"/>
  <c r="AX1939" i="1"/>
  <c r="AW1939" i="1"/>
  <c r="AV1939" i="1"/>
  <c r="AU1939" i="1"/>
  <c r="AT1939" i="1"/>
  <c r="Y1938" i="1"/>
  <c r="X1938" i="1"/>
  <c r="AX1938" i="1"/>
  <c r="AW1938" i="1"/>
  <c r="AV1938" i="1"/>
  <c r="AU1938" i="1"/>
  <c r="AT1938" i="1"/>
  <c r="Y1937" i="1"/>
  <c r="X1937" i="1"/>
  <c r="AX1937" i="1"/>
  <c r="AW1937" i="1"/>
  <c r="AV1937" i="1"/>
  <c r="AU1937" i="1"/>
  <c r="AT1937" i="1"/>
  <c r="Y1936" i="1"/>
  <c r="X1936" i="1"/>
  <c r="AX1936" i="1"/>
  <c r="AW1936" i="1"/>
  <c r="AV1936" i="1"/>
  <c r="AU1936" i="1"/>
  <c r="AT1936" i="1"/>
  <c r="Y1935" i="1"/>
  <c r="X1935" i="1"/>
  <c r="AX1935" i="1"/>
  <c r="AW1935" i="1"/>
  <c r="AV1935" i="1"/>
  <c r="AU1935" i="1"/>
  <c r="AT1935" i="1"/>
  <c r="Y1934" i="1"/>
  <c r="X1934" i="1"/>
  <c r="AX1934" i="1"/>
  <c r="AW1934" i="1"/>
  <c r="AV1934" i="1"/>
  <c r="AU1934" i="1"/>
  <c r="AT1934" i="1"/>
  <c r="Y1933" i="1"/>
  <c r="X1933" i="1"/>
  <c r="AX1933" i="1"/>
  <c r="AW1933" i="1"/>
  <c r="AV1933" i="1"/>
  <c r="AU1933" i="1"/>
  <c r="AT1933" i="1"/>
  <c r="Y1932" i="1"/>
  <c r="X1932" i="1"/>
  <c r="AX1932" i="1"/>
  <c r="AW1932" i="1"/>
  <c r="AV1932" i="1"/>
  <c r="AU1932" i="1"/>
  <c r="AT1932" i="1"/>
  <c r="Y1931" i="1"/>
  <c r="X1931" i="1"/>
  <c r="AX1931" i="1"/>
  <c r="AW1931" i="1"/>
  <c r="AV1931" i="1"/>
  <c r="AU1931" i="1"/>
  <c r="AT1931" i="1"/>
  <c r="Y1930" i="1"/>
  <c r="X1930" i="1"/>
  <c r="AX1930" i="1"/>
  <c r="AW1930" i="1"/>
  <c r="AV1930" i="1"/>
  <c r="AU1930" i="1"/>
  <c r="AT1930" i="1"/>
  <c r="Y1929" i="1"/>
  <c r="X1929" i="1"/>
  <c r="AX1929" i="1"/>
  <c r="AW1929" i="1"/>
  <c r="AV1929" i="1"/>
  <c r="AU1929" i="1"/>
  <c r="AT1929" i="1"/>
  <c r="Y1928" i="1"/>
  <c r="X1928" i="1"/>
  <c r="AX1928" i="1"/>
  <c r="AW1928" i="1"/>
  <c r="AV1928" i="1"/>
  <c r="AU1928" i="1"/>
  <c r="AT1928" i="1"/>
  <c r="Y1927" i="1"/>
  <c r="X1927" i="1"/>
  <c r="AX1927" i="1"/>
  <c r="AW1927" i="1"/>
  <c r="AV1927" i="1"/>
  <c r="AU1927" i="1"/>
  <c r="AT1927" i="1"/>
  <c r="Y1926" i="1"/>
  <c r="X1926" i="1"/>
  <c r="AX1926" i="1"/>
  <c r="AW1926" i="1"/>
  <c r="AV1926" i="1"/>
  <c r="AU1926" i="1"/>
  <c r="AT1926" i="1"/>
  <c r="Y1925" i="1"/>
  <c r="X1925" i="1"/>
  <c r="AX1925" i="1"/>
  <c r="AW1925" i="1"/>
  <c r="AV1925" i="1"/>
  <c r="AU1925" i="1"/>
  <c r="AT1925" i="1"/>
  <c r="Y1924" i="1"/>
  <c r="X1924" i="1"/>
  <c r="AX1924" i="1"/>
  <c r="AW1924" i="1"/>
  <c r="AV1924" i="1"/>
  <c r="AU1924" i="1"/>
  <c r="AT1924" i="1"/>
  <c r="Y1923" i="1"/>
  <c r="X1923" i="1"/>
  <c r="AX1923" i="1"/>
  <c r="AW1923" i="1"/>
  <c r="AV1923" i="1"/>
  <c r="AU1923" i="1"/>
  <c r="AT1923" i="1"/>
  <c r="Y1922" i="1"/>
  <c r="X1922" i="1"/>
  <c r="AX1922" i="1"/>
  <c r="AW1922" i="1"/>
  <c r="AV1922" i="1"/>
  <c r="AU1922" i="1"/>
  <c r="AT1922" i="1"/>
  <c r="Y1921" i="1"/>
  <c r="X1921" i="1"/>
  <c r="AX1921" i="1"/>
  <c r="AW1921" i="1"/>
  <c r="AV1921" i="1"/>
  <c r="AU1921" i="1"/>
  <c r="AT1921" i="1"/>
  <c r="Y1920" i="1"/>
  <c r="X1920" i="1"/>
  <c r="AX1920" i="1"/>
  <c r="AW1920" i="1"/>
  <c r="AV1920" i="1"/>
  <c r="AU1920" i="1"/>
  <c r="AT1920" i="1"/>
  <c r="Y1919" i="1"/>
  <c r="X1919" i="1"/>
  <c r="AX1919" i="1"/>
  <c r="AW1919" i="1"/>
  <c r="AV1919" i="1"/>
  <c r="AU1919" i="1"/>
  <c r="AT1919" i="1"/>
  <c r="Y1918" i="1"/>
  <c r="X1918" i="1"/>
  <c r="AX1918" i="1"/>
  <c r="AW1918" i="1"/>
  <c r="AV1918" i="1"/>
  <c r="AU1918" i="1"/>
  <c r="AT1918" i="1"/>
  <c r="Y1917" i="1"/>
  <c r="X1917" i="1"/>
  <c r="AX1917" i="1"/>
  <c r="AW1917" i="1"/>
  <c r="AV1917" i="1"/>
  <c r="AU1917" i="1"/>
  <c r="AT1917" i="1"/>
  <c r="Y1916" i="1"/>
  <c r="X1916" i="1"/>
  <c r="AX1916" i="1"/>
  <c r="AW1916" i="1"/>
  <c r="AV1916" i="1"/>
  <c r="AU1916" i="1"/>
  <c r="AT1916" i="1"/>
  <c r="Y1915" i="1"/>
  <c r="X1915" i="1"/>
  <c r="AX1915" i="1"/>
  <c r="AW1915" i="1"/>
  <c r="AV1915" i="1"/>
  <c r="AU1915" i="1"/>
  <c r="AT1915" i="1"/>
  <c r="Y1914" i="1"/>
  <c r="X1914" i="1"/>
  <c r="AX1914" i="1"/>
  <c r="AW1914" i="1"/>
  <c r="AV1914" i="1"/>
  <c r="AU1914" i="1"/>
  <c r="AT1914" i="1"/>
  <c r="Y1913" i="1"/>
  <c r="X1913" i="1"/>
  <c r="AX1913" i="1"/>
  <c r="AW1913" i="1"/>
  <c r="AV1913" i="1"/>
  <c r="AU1913" i="1"/>
  <c r="AT1913" i="1"/>
  <c r="Y1912" i="1"/>
  <c r="X1912" i="1"/>
  <c r="AX1912" i="1"/>
  <c r="AW1912" i="1"/>
  <c r="AV1912" i="1"/>
  <c r="AU1912" i="1"/>
  <c r="AT1912" i="1"/>
  <c r="Y1911" i="1"/>
  <c r="X1911" i="1"/>
  <c r="AX1911" i="1"/>
  <c r="AW1911" i="1"/>
  <c r="AV1911" i="1"/>
  <c r="AU1911" i="1"/>
  <c r="AT1911" i="1"/>
  <c r="Y1910" i="1"/>
  <c r="X1910" i="1"/>
  <c r="AX1910" i="1"/>
  <c r="AW1910" i="1"/>
  <c r="AV1910" i="1"/>
  <c r="AU1910" i="1"/>
  <c r="AT1910" i="1"/>
  <c r="Y1909" i="1"/>
  <c r="X1909" i="1"/>
  <c r="AX1909" i="1"/>
  <c r="AW1909" i="1"/>
  <c r="AV1909" i="1"/>
  <c r="AU1909" i="1"/>
  <c r="AT1909" i="1"/>
  <c r="Y1908" i="1"/>
  <c r="X1908" i="1"/>
  <c r="AX1908" i="1"/>
  <c r="AW1908" i="1"/>
  <c r="AV1908" i="1"/>
  <c r="AU1908" i="1"/>
  <c r="AT1908" i="1"/>
  <c r="Y1907" i="1"/>
  <c r="X1907" i="1"/>
  <c r="AX1907" i="1"/>
  <c r="AW1907" i="1"/>
  <c r="AV1907" i="1"/>
  <c r="AU1907" i="1"/>
  <c r="AT1907" i="1"/>
  <c r="Y1906" i="1"/>
  <c r="X1906" i="1"/>
  <c r="AX1906" i="1"/>
  <c r="AW1906" i="1"/>
  <c r="AV1906" i="1"/>
  <c r="AU1906" i="1"/>
  <c r="AT1906" i="1"/>
  <c r="Y1905" i="1"/>
  <c r="X1905" i="1"/>
  <c r="AX1905" i="1"/>
  <c r="AW1905" i="1"/>
  <c r="AV1905" i="1"/>
  <c r="AU1905" i="1"/>
  <c r="AT1905" i="1"/>
  <c r="Y1904" i="1"/>
  <c r="X1904" i="1"/>
  <c r="AX1904" i="1"/>
  <c r="AW1904" i="1"/>
  <c r="AV1904" i="1"/>
  <c r="AU1904" i="1"/>
  <c r="AT1904" i="1"/>
  <c r="Y1903" i="1"/>
  <c r="X1903" i="1"/>
  <c r="AX1903" i="1"/>
  <c r="AW1903" i="1"/>
  <c r="AV1903" i="1"/>
  <c r="AU1903" i="1"/>
  <c r="AT1903" i="1"/>
  <c r="Y1902" i="1"/>
  <c r="X1902" i="1"/>
  <c r="AX1902" i="1"/>
  <c r="AW1902" i="1"/>
  <c r="AV1902" i="1"/>
  <c r="AU1902" i="1"/>
  <c r="AT1902" i="1"/>
  <c r="Y1901" i="1"/>
  <c r="X1901" i="1"/>
  <c r="AX1901" i="1"/>
  <c r="AW1901" i="1"/>
  <c r="AV1901" i="1"/>
  <c r="AU1901" i="1"/>
  <c r="AT1901" i="1"/>
  <c r="Y1900" i="1"/>
  <c r="X1900" i="1"/>
  <c r="AX1900" i="1"/>
  <c r="AW1900" i="1"/>
  <c r="AV1900" i="1"/>
  <c r="AU1900" i="1"/>
  <c r="AT1900" i="1"/>
  <c r="Y1899" i="1"/>
  <c r="X1899" i="1"/>
  <c r="AX1899" i="1"/>
  <c r="AW1899" i="1"/>
  <c r="AV1899" i="1"/>
  <c r="AU1899" i="1"/>
  <c r="AT1899" i="1"/>
  <c r="Y1898" i="1"/>
  <c r="X1898" i="1"/>
  <c r="AX1898" i="1"/>
  <c r="AW1898" i="1"/>
  <c r="AV1898" i="1"/>
  <c r="AU1898" i="1"/>
  <c r="AT1898" i="1"/>
  <c r="Y1897" i="1"/>
  <c r="X1897" i="1"/>
  <c r="AX1897" i="1"/>
  <c r="AW1897" i="1"/>
  <c r="AV1897" i="1"/>
  <c r="AU1897" i="1"/>
  <c r="AT1897" i="1"/>
  <c r="Y1896" i="1"/>
  <c r="X1896" i="1"/>
  <c r="AX1896" i="1"/>
  <c r="AW1896" i="1"/>
  <c r="AV1896" i="1"/>
  <c r="AU1896" i="1"/>
  <c r="AT1896" i="1"/>
  <c r="Y1895" i="1"/>
  <c r="X1895" i="1"/>
  <c r="AX1895" i="1"/>
  <c r="AW1895" i="1"/>
  <c r="AV1895" i="1"/>
  <c r="AU1895" i="1"/>
  <c r="AT1895" i="1"/>
  <c r="Y1894" i="1"/>
  <c r="X1894" i="1"/>
  <c r="AX1894" i="1"/>
  <c r="AW1894" i="1"/>
  <c r="AV1894" i="1"/>
  <c r="AU1894" i="1"/>
  <c r="AT1894" i="1"/>
  <c r="Y1893" i="1"/>
  <c r="X1893" i="1"/>
  <c r="AX1893" i="1"/>
  <c r="AW1893" i="1"/>
  <c r="AV1893" i="1"/>
  <c r="AU1893" i="1"/>
  <c r="AT1893" i="1"/>
  <c r="Y1892" i="1"/>
  <c r="X1892" i="1"/>
  <c r="AX1892" i="1"/>
  <c r="AW1892" i="1"/>
  <c r="AV1892" i="1"/>
  <c r="AU1892" i="1"/>
  <c r="AT1892" i="1"/>
  <c r="Y1891" i="1"/>
  <c r="X1891" i="1"/>
  <c r="AX1891" i="1"/>
  <c r="AW1891" i="1"/>
  <c r="AV1891" i="1"/>
  <c r="AU1891" i="1"/>
  <c r="AT1891" i="1"/>
  <c r="Y1890" i="1"/>
  <c r="X1890" i="1"/>
  <c r="AX1890" i="1"/>
  <c r="AW1890" i="1"/>
  <c r="AV1890" i="1"/>
  <c r="AU1890" i="1"/>
  <c r="AT1890" i="1"/>
  <c r="Y1889" i="1"/>
  <c r="X1889" i="1"/>
  <c r="AX1889" i="1"/>
  <c r="AW1889" i="1"/>
  <c r="AV1889" i="1"/>
  <c r="AU1889" i="1"/>
  <c r="AT1889" i="1"/>
  <c r="Y1888" i="1"/>
  <c r="X1888" i="1"/>
  <c r="AX1888" i="1"/>
  <c r="AW1888" i="1"/>
  <c r="AV1888" i="1"/>
  <c r="AU1888" i="1"/>
  <c r="AT1888" i="1"/>
  <c r="Y1887" i="1"/>
  <c r="X1887" i="1"/>
  <c r="AX1887" i="1"/>
  <c r="AW1887" i="1"/>
  <c r="AV1887" i="1"/>
  <c r="AU1887" i="1"/>
  <c r="AT1887" i="1"/>
  <c r="Y1886" i="1"/>
  <c r="X1886" i="1"/>
  <c r="AX1886" i="1"/>
  <c r="AW1886" i="1"/>
  <c r="AV1886" i="1"/>
  <c r="AU1886" i="1"/>
  <c r="AT1886" i="1"/>
  <c r="Y1885" i="1"/>
  <c r="X1885" i="1"/>
  <c r="AX1885" i="1"/>
  <c r="AW1885" i="1"/>
  <c r="AV1885" i="1"/>
  <c r="AU1885" i="1"/>
  <c r="AT1885" i="1"/>
  <c r="Y1884" i="1"/>
  <c r="X1884" i="1"/>
  <c r="AX1884" i="1"/>
  <c r="AW1884" i="1"/>
  <c r="AV1884" i="1"/>
  <c r="AU1884" i="1"/>
  <c r="AT1884" i="1"/>
  <c r="Y1883" i="1"/>
  <c r="X1883" i="1"/>
  <c r="AX1883" i="1"/>
  <c r="AW1883" i="1"/>
  <c r="AV1883" i="1"/>
  <c r="AU1883" i="1"/>
  <c r="AT1883" i="1"/>
  <c r="Y1882" i="1"/>
  <c r="X1882" i="1"/>
  <c r="AX1882" i="1"/>
  <c r="AW1882" i="1"/>
  <c r="AV1882" i="1"/>
  <c r="AU1882" i="1"/>
  <c r="AT1882" i="1"/>
  <c r="Y1881" i="1"/>
  <c r="X1881" i="1"/>
  <c r="AX1881" i="1"/>
  <c r="AW1881" i="1"/>
  <c r="AV1881" i="1"/>
  <c r="AU1881" i="1"/>
  <c r="AT1881" i="1"/>
  <c r="Y1880" i="1"/>
  <c r="X1880" i="1"/>
  <c r="AX1880" i="1"/>
  <c r="AW1880" i="1"/>
  <c r="AV1880" i="1"/>
  <c r="AU1880" i="1"/>
  <c r="AT1880" i="1"/>
  <c r="Y1879" i="1"/>
  <c r="X1879" i="1"/>
  <c r="AX1879" i="1"/>
  <c r="AW1879" i="1"/>
  <c r="AV1879" i="1"/>
  <c r="AU1879" i="1"/>
  <c r="AT1879" i="1"/>
  <c r="Y1878" i="1"/>
  <c r="X1878" i="1"/>
  <c r="AX1878" i="1"/>
  <c r="AW1878" i="1"/>
  <c r="AV1878" i="1"/>
  <c r="AU1878" i="1"/>
  <c r="AT1878" i="1"/>
  <c r="Y1877" i="1"/>
  <c r="X1877" i="1"/>
  <c r="AX1877" i="1"/>
  <c r="AW1877" i="1"/>
  <c r="AV1877" i="1"/>
  <c r="AU1877" i="1"/>
  <c r="AT1877" i="1"/>
  <c r="Y1876" i="1"/>
  <c r="X1876" i="1"/>
  <c r="AX1876" i="1"/>
  <c r="AW1876" i="1"/>
  <c r="AV1876" i="1"/>
  <c r="AU1876" i="1"/>
  <c r="AT1876" i="1"/>
  <c r="Y1875" i="1"/>
  <c r="X1875" i="1"/>
  <c r="AX1875" i="1"/>
  <c r="AW1875" i="1"/>
  <c r="AV1875" i="1"/>
  <c r="AU1875" i="1"/>
  <c r="AT1875" i="1"/>
  <c r="Y1874" i="1"/>
  <c r="X1874" i="1"/>
  <c r="AX1874" i="1"/>
  <c r="AW1874" i="1"/>
  <c r="AV1874" i="1"/>
  <c r="AU1874" i="1"/>
  <c r="AT1874" i="1"/>
  <c r="Y1873" i="1"/>
  <c r="X1873" i="1"/>
  <c r="AX1873" i="1"/>
  <c r="AW1873" i="1"/>
  <c r="AV1873" i="1"/>
  <c r="AU1873" i="1"/>
  <c r="AT1873" i="1"/>
  <c r="Y1872" i="1"/>
  <c r="X1872" i="1"/>
  <c r="AX1872" i="1"/>
  <c r="AW1872" i="1"/>
  <c r="AV1872" i="1"/>
  <c r="AU1872" i="1"/>
  <c r="AT1872" i="1"/>
  <c r="Y1871" i="1"/>
  <c r="X1871" i="1"/>
  <c r="AX1871" i="1"/>
  <c r="AW1871" i="1"/>
  <c r="AV1871" i="1"/>
  <c r="AU1871" i="1"/>
  <c r="AT1871" i="1"/>
  <c r="Y1870" i="1"/>
  <c r="X1870" i="1"/>
  <c r="AX1870" i="1"/>
  <c r="AW1870" i="1"/>
  <c r="AV1870" i="1"/>
  <c r="AU1870" i="1"/>
  <c r="AT1870" i="1"/>
  <c r="Y1869" i="1"/>
  <c r="X1869" i="1"/>
  <c r="AX1869" i="1"/>
  <c r="AW1869" i="1"/>
  <c r="AV1869" i="1"/>
  <c r="AU1869" i="1"/>
  <c r="AT1869" i="1"/>
  <c r="Y1868" i="1"/>
  <c r="X1868" i="1"/>
  <c r="AX1868" i="1"/>
  <c r="AW1868" i="1"/>
  <c r="AV1868" i="1"/>
  <c r="AU1868" i="1"/>
  <c r="AT1868" i="1"/>
  <c r="Y1867" i="1"/>
  <c r="X1867" i="1"/>
  <c r="AX1867" i="1"/>
  <c r="AW1867" i="1"/>
  <c r="AV1867" i="1"/>
  <c r="AU1867" i="1"/>
  <c r="AT1867" i="1"/>
  <c r="Y1866" i="1"/>
  <c r="X1866" i="1"/>
  <c r="AX1866" i="1"/>
  <c r="AW1866" i="1"/>
  <c r="AV1866" i="1"/>
  <c r="AU1866" i="1"/>
  <c r="AT1866" i="1"/>
  <c r="Y1865" i="1"/>
  <c r="X1865" i="1"/>
  <c r="AX1865" i="1"/>
  <c r="AW1865" i="1"/>
  <c r="AV1865" i="1"/>
  <c r="AU1865" i="1"/>
  <c r="AT1865" i="1"/>
  <c r="Y1864" i="1"/>
  <c r="X1864" i="1"/>
  <c r="AX1864" i="1"/>
  <c r="AW1864" i="1"/>
  <c r="AV1864" i="1"/>
  <c r="AU1864" i="1"/>
  <c r="AT1864" i="1"/>
  <c r="Y1863" i="1"/>
  <c r="X1863" i="1"/>
  <c r="AX1863" i="1"/>
  <c r="AW1863" i="1"/>
  <c r="AV1863" i="1"/>
  <c r="AU1863" i="1"/>
  <c r="AT1863" i="1"/>
  <c r="Y1862" i="1"/>
  <c r="X1862" i="1"/>
  <c r="AX1862" i="1"/>
  <c r="AW1862" i="1"/>
  <c r="AV1862" i="1"/>
  <c r="AU1862" i="1"/>
  <c r="AT1862" i="1"/>
  <c r="Y1861" i="1"/>
  <c r="X1861" i="1"/>
  <c r="AX1861" i="1"/>
  <c r="AW1861" i="1"/>
  <c r="AV1861" i="1"/>
  <c r="AU1861" i="1"/>
  <c r="AT1861" i="1"/>
  <c r="Y1860" i="1"/>
  <c r="X1860" i="1"/>
  <c r="AX1860" i="1"/>
  <c r="AW1860" i="1"/>
  <c r="AV1860" i="1"/>
  <c r="AU1860" i="1"/>
  <c r="AT1860" i="1"/>
  <c r="Y1859" i="1"/>
  <c r="X1859" i="1"/>
  <c r="AX1859" i="1"/>
  <c r="AW1859" i="1"/>
  <c r="AV1859" i="1"/>
  <c r="AU1859" i="1"/>
  <c r="AT1859" i="1"/>
  <c r="Y1858" i="1"/>
  <c r="X1858" i="1"/>
  <c r="AX1858" i="1"/>
  <c r="AW1858" i="1"/>
  <c r="AV1858" i="1"/>
  <c r="AU1858" i="1"/>
  <c r="AT1858" i="1"/>
  <c r="Y1857" i="1"/>
  <c r="X1857" i="1"/>
  <c r="AX1857" i="1"/>
  <c r="AW1857" i="1"/>
  <c r="AV1857" i="1"/>
  <c r="AU1857" i="1"/>
  <c r="AT1857" i="1"/>
  <c r="Y1855" i="1"/>
  <c r="X1855" i="1"/>
  <c r="AX1855" i="1"/>
  <c r="AW1855" i="1"/>
  <c r="AV1855" i="1"/>
  <c r="AU1855" i="1"/>
  <c r="AT1855" i="1"/>
  <c r="Y1854" i="1"/>
  <c r="X1854" i="1"/>
  <c r="AX1854" i="1"/>
  <c r="AW1854" i="1"/>
  <c r="AV1854" i="1"/>
  <c r="AU1854" i="1"/>
  <c r="AT1854" i="1"/>
  <c r="Y1853" i="1"/>
  <c r="X1853" i="1"/>
  <c r="AX1853" i="1"/>
  <c r="AW1853" i="1"/>
  <c r="AV1853" i="1"/>
  <c r="AU1853" i="1"/>
  <c r="AT1853" i="1"/>
  <c r="Y1852" i="1"/>
  <c r="X1852" i="1"/>
  <c r="AX1852" i="1"/>
  <c r="AW1852" i="1"/>
  <c r="AV1852" i="1"/>
  <c r="AU1852" i="1"/>
  <c r="AT1852" i="1"/>
  <c r="Y1851" i="1"/>
  <c r="X1851" i="1"/>
  <c r="AX1851" i="1"/>
  <c r="AW1851" i="1"/>
  <c r="AV1851" i="1"/>
  <c r="AU1851" i="1"/>
  <c r="AT1851" i="1"/>
  <c r="Y1850" i="1"/>
  <c r="X1850" i="1"/>
  <c r="AX1850" i="1"/>
  <c r="AW1850" i="1"/>
  <c r="AV1850" i="1"/>
  <c r="AU1850" i="1"/>
  <c r="AT1850" i="1"/>
  <c r="Y1849" i="1"/>
  <c r="X1849" i="1"/>
  <c r="AX1849" i="1"/>
  <c r="AW1849" i="1"/>
  <c r="AV1849" i="1"/>
  <c r="AU1849" i="1"/>
  <c r="AT1849" i="1"/>
  <c r="Y1848" i="1"/>
  <c r="X1848" i="1"/>
  <c r="AX1848" i="1"/>
  <c r="AW1848" i="1"/>
  <c r="AV1848" i="1"/>
  <c r="AU1848" i="1"/>
  <c r="AT1848" i="1"/>
  <c r="Y1847" i="1"/>
  <c r="X1847" i="1"/>
  <c r="AX1847" i="1"/>
  <c r="AW1847" i="1"/>
  <c r="AV1847" i="1"/>
  <c r="AU1847" i="1"/>
  <c r="AT1847" i="1"/>
  <c r="Y1846" i="1"/>
  <c r="X1846" i="1"/>
  <c r="AX1846" i="1"/>
  <c r="AW1846" i="1"/>
  <c r="AV1846" i="1"/>
  <c r="AU1846" i="1"/>
  <c r="AT1846" i="1"/>
  <c r="Y1845" i="1"/>
  <c r="X1845" i="1"/>
  <c r="AX1845" i="1"/>
  <c r="AW1845" i="1"/>
  <c r="AV1845" i="1"/>
  <c r="AU1845" i="1"/>
  <c r="AT1845" i="1"/>
  <c r="Y1844" i="1"/>
  <c r="X1844" i="1"/>
  <c r="AX1844" i="1"/>
  <c r="AW1844" i="1"/>
  <c r="AV1844" i="1"/>
  <c r="AU1844" i="1"/>
  <c r="AT1844" i="1"/>
  <c r="Y1843" i="1"/>
  <c r="X1843" i="1"/>
  <c r="AX1843" i="1"/>
  <c r="AW1843" i="1"/>
  <c r="AV1843" i="1"/>
  <c r="AU1843" i="1"/>
  <c r="AT1843" i="1"/>
  <c r="Y1842" i="1"/>
  <c r="X1842" i="1"/>
  <c r="AX1842" i="1"/>
  <c r="AW1842" i="1"/>
  <c r="AV1842" i="1"/>
  <c r="AU1842" i="1"/>
  <c r="AT1842" i="1"/>
  <c r="Y1841" i="1"/>
  <c r="X1841" i="1"/>
  <c r="AX1841" i="1"/>
  <c r="AW1841" i="1"/>
  <c r="AV1841" i="1"/>
  <c r="AU1841" i="1"/>
  <c r="AT1841" i="1"/>
  <c r="Y1840" i="1"/>
  <c r="X1840" i="1"/>
  <c r="AX1840" i="1"/>
  <c r="AW1840" i="1"/>
  <c r="AV1840" i="1"/>
  <c r="AU1840" i="1"/>
  <c r="AT1840" i="1"/>
  <c r="Y1839" i="1"/>
  <c r="X1839" i="1"/>
  <c r="AX1839" i="1"/>
  <c r="AW1839" i="1"/>
  <c r="AV1839" i="1"/>
  <c r="AU1839" i="1"/>
  <c r="AT1839" i="1"/>
  <c r="Y1838" i="1"/>
  <c r="X1838" i="1"/>
  <c r="AX1838" i="1"/>
  <c r="AW1838" i="1"/>
  <c r="AV1838" i="1"/>
  <c r="AU1838" i="1"/>
  <c r="AT1838" i="1"/>
  <c r="Y1836" i="1"/>
  <c r="X1836" i="1"/>
  <c r="AX1836" i="1"/>
  <c r="AW1836" i="1"/>
  <c r="AV1836" i="1"/>
  <c r="AU1836" i="1"/>
  <c r="AT1836" i="1"/>
  <c r="Y1835" i="1"/>
  <c r="X1835" i="1"/>
  <c r="AX1835" i="1"/>
  <c r="AW1835" i="1"/>
  <c r="AV1835" i="1"/>
  <c r="AU1835" i="1"/>
  <c r="AT1835" i="1"/>
  <c r="Y1834" i="1"/>
  <c r="X1834" i="1"/>
  <c r="AX1834" i="1"/>
  <c r="AW1834" i="1"/>
  <c r="AV1834" i="1"/>
  <c r="AU1834" i="1"/>
  <c r="AT1834" i="1"/>
  <c r="Y1833" i="1"/>
  <c r="X1833" i="1"/>
  <c r="AX1833" i="1"/>
  <c r="AW1833" i="1"/>
  <c r="AV1833" i="1"/>
  <c r="AU1833" i="1"/>
  <c r="AT1833" i="1"/>
  <c r="Y1832" i="1"/>
  <c r="X1832" i="1"/>
  <c r="AX1832" i="1"/>
  <c r="AW1832" i="1"/>
  <c r="AV1832" i="1"/>
  <c r="AU1832" i="1"/>
  <c r="AT1832" i="1"/>
  <c r="Y1831" i="1"/>
  <c r="X1831" i="1"/>
  <c r="AX1831" i="1"/>
  <c r="AW1831" i="1"/>
  <c r="AV1831" i="1"/>
  <c r="AU1831" i="1"/>
  <c r="AT1831" i="1"/>
  <c r="Y1830" i="1"/>
  <c r="X1830" i="1"/>
  <c r="AX1830" i="1"/>
  <c r="AW1830" i="1"/>
  <c r="AV1830" i="1"/>
  <c r="AU1830" i="1"/>
  <c r="AT1830" i="1"/>
  <c r="Y1829" i="1"/>
  <c r="X1829" i="1"/>
  <c r="AX1829" i="1"/>
  <c r="AW1829" i="1"/>
  <c r="AV1829" i="1"/>
  <c r="AU1829" i="1"/>
  <c r="AT1829" i="1"/>
  <c r="Y1828" i="1"/>
  <c r="X1828" i="1"/>
  <c r="AX1828" i="1"/>
  <c r="AW1828" i="1"/>
  <c r="AV1828" i="1"/>
  <c r="AU1828" i="1"/>
  <c r="AT1828" i="1"/>
  <c r="Y1827" i="1"/>
  <c r="X1827" i="1"/>
  <c r="AX1827" i="1"/>
  <c r="AW1827" i="1"/>
  <c r="AV1827" i="1"/>
  <c r="AU1827" i="1"/>
  <c r="AT1827" i="1"/>
  <c r="Y1826" i="1"/>
  <c r="X1826" i="1"/>
  <c r="AX1826" i="1"/>
  <c r="AW1826" i="1"/>
  <c r="AV1826" i="1"/>
  <c r="AU1826" i="1"/>
  <c r="AT1826" i="1"/>
  <c r="Y1825" i="1"/>
  <c r="X1825" i="1"/>
  <c r="AX1825" i="1"/>
  <c r="AW1825" i="1"/>
  <c r="AV1825" i="1"/>
  <c r="AU1825" i="1"/>
  <c r="AT1825" i="1"/>
  <c r="Y1824" i="1"/>
  <c r="X1824" i="1"/>
  <c r="AX1824" i="1"/>
  <c r="AW1824" i="1"/>
  <c r="AV1824" i="1"/>
  <c r="AU1824" i="1"/>
  <c r="AT1824" i="1"/>
  <c r="Y1823" i="1"/>
  <c r="X1823" i="1"/>
  <c r="AX1823" i="1"/>
  <c r="AW1823" i="1"/>
  <c r="AV1823" i="1"/>
  <c r="AU1823" i="1"/>
  <c r="AT1823" i="1"/>
  <c r="Y1822" i="1"/>
  <c r="X1822" i="1"/>
  <c r="AX1822" i="1"/>
  <c r="AW1822" i="1"/>
  <c r="AV1822" i="1"/>
  <c r="AU1822" i="1"/>
  <c r="AT1822" i="1"/>
  <c r="Y1821" i="1"/>
  <c r="X1821" i="1"/>
  <c r="AX1821" i="1"/>
  <c r="AW1821" i="1"/>
  <c r="AV1821" i="1"/>
  <c r="AU1821" i="1"/>
  <c r="AT1821" i="1"/>
  <c r="Y1820" i="1"/>
  <c r="X1820" i="1"/>
  <c r="AX1820" i="1"/>
  <c r="AW1820" i="1"/>
  <c r="AV1820" i="1"/>
  <c r="AU1820" i="1"/>
  <c r="AT1820" i="1"/>
  <c r="Y1819" i="1"/>
  <c r="X1819" i="1"/>
  <c r="AX1819" i="1"/>
  <c r="AW1819" i="1"/>
  <c r="AV1819" i="1"/>
  <c r="AU1819" i="1"/>
  <c r="AT1819" i="1"/>
  <c r="Y1818" i="1"/>
  <c r="X1818" i="1"/>
  <c r="AX1818" i="1"/>
  <c r="AW1818" i="1"/>
  <c r="AV1818" i="1"/>
  <c r="AU1818" i="1"/>
  <c r="AT1818" i="1"/>
  <c r="Y1817" i="1"/>
  <c r="X1817" i="1"/>
  <c r="AX1817" i="1"/>
  <c r="AW1817" i="1"/>
  <c r="AV1817" i="1"/>
  <c r="AU1817" i="1"/>
  <c r="AT1817" i="1"/>
  <c r="Y1816" i="1"/>
  <c r="X1816" i="1"/>
  <c r="AX1816" i="1"/>
  <c r="AW1816" i="1"/>
  <c r="AV1816" i="1"/>
  <c r="AU1816" i="1"/>
  <c r="AT1816" i="1"/>
  <c r="Y1815" i="1"/>
  <c r="X1815" i="1"/>
  <c r="AX1815" i="1"/>
  <c r="AW1815" i="1"/>
  <c r="AV1815" i="1"/>
  <c r="AU1815" i="1"/>
  <c r="AT1815" i="1"/>
  <c r="Y1814" i="1"/>
  <c r="X1814" i="1"/>
  <c r="AX1814" i="1"/>
  <c r="AW1814" i="1"/>
  <c r="AV1814" i="1"/>
  <c r="AU1814" i="1"/>
  <c r="AT1814" i="1"/>
  <c r="Y1813" i="1"/>
  <c r="X1813" i="1"/>
  <c r="AX1813" i="1"/>
  <c r="AW1813" i="1"/>
  <c r="AV1813" i="1"/>
  <c r="AU1813" i="1"/>
  <c r="AT1813" i="1"/>
  <c r="Y1812" i="1"/>
  <c r="X1812" i="1"/>
  <c r="AX1812" i="1"/>
  <c r="AW1812" i="1"/>
  <c r="AV1812" i="1"/>
  <c r="AU1812" i="1"/>
  <c r="AT1812" i="1"/>
  <c r="Y1811" i="1"/>
  <c r="X1811" i="1"/>
  <c r="AX1811" i="1"/>
  <c r="AW1811" i="1"/>
  <c r="AV1811" i="1"/>
  <c r="AU1811" i="1"/>
  <c r="AT1811" i="1"/>
  <c r="Y1810" i="1"/>
  <c r="X1810" i="1"/>
  <c r="AX1810" i="1"/>
  <c r="AW1810" i="1"/>
  <c r="AV1810" i="1"/>
  <c r="AU1810" i="1"/>
  <c r="AT1810" i="1"/>
  <c r="Y1809" i="1"/>
  <c r="X1809" i="1"/>
  <c r="AX1809" i="1"/>
  <c r="AW1809" i="1"/>
  <c r="AV1809" i="1"/>
  <c r="AU1809" i="1"/>
  <c r="AT1809" i="1"/>
  <c r="Y1808" i="1"/>
  <c r="X1808" i="1"/>
  <c r="AX1808" i="1"/>
  <c r="AW1808" i="1"/>
  <c r="AV1808" i="1"/>
  <c r="AU1808" i="1"/>
  <c r="AT1808" i="1"/>
  <c r="Y1807" i="1"/>
  <c r="X1807" i="1"/>
  <c r="AX1807" i="1"/>
  <c r="AW1807" i="1"/>
  <c r="AV1807" i="1"/>
  <c r="AU1807" i="1"/>
  <c r="AT1807" i="1"/>
  <c r="Y1806" i="1"/>
  <c r="X1806" i="1"/>
  <c r="AX1806" i="1"/>
  <c r="AW1806" i="1"/>
  <c r="AV1806" i="1"/>
  <c r="AU1806" i="1"/>
  <c r="AT1806" i="1"/>
  <c r="Y1805" i="1"/>
  <c r="X1805" i="1"/>
  <c r="AX1805" i="1"/>
  <c r="AW1805" i="1"/>
  <c r="AV1805" i="1"/>
  <c r="AU1805" i="1"/>
  <c r="AT1805" i="1"/>
  <c r="Y1804" i="1"/>
  <c r="X1804" i="1"/>
  <c r="AX1804" i="1"/>
  <c r="AW1804" i="1"/>
  <c r="AV1804" i="1"/>
  <c r="AU1804" i="1"/>
  <c r="AT1804" i="1"/>
  <c r="Y1803" i="1"/>
  <c r="X1803" i="1"/>
  <c r="AX1803" i="1"/>
  <c r="AW1803" i="1"/>
  <c r="AV1803" i="1"/>
  <c r="AU1803" i="1"/>
  <c r="AT1803" i="1"/>
  <c r="Y1802" i="1"/>
  <c r="X1802" i="1"/>
  <c r="AX1802" i="1"/>
  <c r="AW1802" i="1"/>
  <c r="AV1802" i="1"/>
  <c r="AU1802" i="1"/>
  <c r="AT1802" i="1"/>
  <c r="Y1801" i="1"/>
  <c r="X1801" i="1"/>
  <c r="AX1801" i="1"/>
  <c r="AW1801" i="1"/>
  <c r="AV1801" i="1"/>
  <c r="AU1801" i="1"/>
  <c r="AT1801" i="1"/>
  <c r="Y1800" i="1"/>
  <c r="X1800" i="1"/>
  <c r="AX1800" i="1"/>
  <c r="AW1800" i="1"/>
  <c r="AV1800" i="1"/>
  <c r="AU1800" i="1"/>
  <c r="AT1800" i="1"/>
  <c r="Y1799" i="1"/>
  <c r="X1799" i="1"/>
  <c r="AX1799" i="1"/>
  <c r="AW1799" i="1"/>
  <c r="AV1799" i="1"/>
  <c r="AU1799" i="1"/>
  <c r="AT1799" i="1"/>
  <c r="Y1798" i="1"/>
  <c r="X1798" i="1"/>
  <c r="AX1798" i="1"/>
  <c r="AW1798" i="1"/>
  <c r="AV1798" i="1"/>
  <c r="AU1798" i="1"/>
  <c r="AT1798" i="1"/>
  <c r="Y1797" i="1"/>
  <c r="X1797" i="1"/>
  <c r="AX1797" i="1"/>
  <c r="AW1797" i="1"/>
  <c r="AV1797" i="1"/>
  <c r="AU1797" i="1"/>
  <c r="AT1797" i="1"/>
  <c r="Y1796" i="1"/>
  <c r="X1796" i="1"/>
  <c r="AX1796" i="1"/>
  <c r="AW1796" i="1"/>
  <c r="AV1796" i="1"/>
  <c r="AU1796" i="1"/>
  <c r="AT1796" i="1"/>
  <c r="Y1795" i="1"/>
  <c r="X1795" i="1"/>
  <c r="AX1795" i="1"/>
  <c r="AW1795" i="1"/>
  <c r="AV1795" i="1"/>
  <c r="AU1795" i="1"/>
  <c r="AT1795" i="1"/>
  <c r="Y1794" i="1"/>
  <c r="X1794" i="1"/>
  <c r="AX1794" i="1"/>
  <c r="AW1794" i="1"/>
  <c r="AV1794" i="1"/>
  <c r="AU1794" i="1"/>
  <c r="AT1794" i="1"/>
  <c r="Y1793" i="1"/>
  <c r="X1793" i="1"/>
  <c r="AX1793" i="1"/>
  <c r="AW1793" i="1"/>
  <c r="AV1793" i="1"/>
  <c r="AU1793" i="1"/>
  <c r="AT1793" i="1"/>
  <c r="Y1792" i="1"/>
  <c r="X1792" i="1"/>
  <c r="AX1792" i="1"/>
  <c r="AW1792" i="1"/>
  <c r="AV1792" i="1"/>
  <c r="AU1792" i="1"/>
  <c r="AT1792" i="1"/>
  <c r="Y1791" i="1"/>
  <c r="X1791" i="1"/>
  <c r="AX1791" i="1"/>
  <c r="AW1791" i="1"/>
  <c r="AV1791" i="1"/>
  <c r="AU1791" i="1"/>
  <c r="AT1791" i="1"/>
  <c r="Y1790" i="1"/>
  <c r="X1790" i="1"/>
  <c r="AX1790" i="1"/>
  <c r="AW1790" i="1"/>
  <c r="AV1790" i="1"/>
  <c r="AU1790" i="1"/>
  <c r="AT1790" i="1"/>
  <c r="Y1789" i="1"/>
  <c r="X1789" i="1"/>
  <c r="AX1789" i="1"/>
  <c r="AW1789" i="1"/>
  <c r="AV1789" i="1"/>
  <c r="AU1789" i="1"/>
  <c r="AT1789" i="1"/>
  <c r="Y1788" i="1"/>
  <c r="X1788" i="1"/>
  <c r="AX1788" i="1"/>
  <c r="AW1788" i="1"/>
  <c r="AV1788" i="1"/>
  <c r="AU1788" i="1"/>
  <c r="AT1788" i="1"/>
  <c r="Y1787" i="1"/>
  <c r="X1787" i="1"/>
  <c r="AX1787" i="1"/>
  <c r="AW1787" i="1"/>
  <c r="AV1787" i="1"/>
  <c r="AU1787" i="1"/>
  <c r="AT1787" i="1"/>
  <c r="Y1786" i="1"/>
  <c r="X1786" i="1"/>
  <c r="AX1786" i="1"/>
  <c r="AW1786" i="1"/>
  <c r="AV1786" i="1"/>
  <c r="AU1786" i="1"/>
  <c r="AT1786" i="1"/>
  <c r="Y1785" i="1"/>
  <c r="X1785" i="1"/>
  <c r="AX1785" i="1"/>
  <c r="AW1785" i="1"/>
  <c r="AV1785" i="1"/>
  <c r="AU1785" i="1"/>
  <c r="AT1785" i="1"/>
  <c r="Y1784" i="1"/>
  <c r="X1784" i="1"/>
  <c r="AX1784" i="1"/>
  <c r="AW1784" i="1"/>
  <c r="AV1784" i="1"/>
  <c r="AU1784" i="1"/>
  <c r="AT1784" i="1"/>
  <c r="Y1783" i="1"/>
  <c r="X1783" i="1"/>
  <c r="AX1783" i="1"/>
  <c r="AW1783" i="1"/>
  <c r="AV1783" i="1"/>
  <c r="AU1783" i="1"/>
  <c r="AT1783" i="1"/>
  <c r="Y1782" i="1"/>
  <c r="X1782" i="1"/>
  <c r="AX1782" i="1"/>
  <c r="AW1782" i="1"/>
  <c r="AV1782" i="1"/>
  <c r="AU1782" i="1"/>
  <c r="AT1782" i="1"/>
  <c r="Y1781" i="1"/>
  <c r="X1781" i="1"/>
  <c r="AX1781" i="1"/>
  <c r="AW1781" i="1"/>
  <c r="AV1781" i="1"/>
  <c r="AU1781" i="1"/>
  <c r="AT1781" i="1"/>
  <c r="Y1780" i="1"/>
  <c r="X1780" i="1"/>
  <c r="AX1780" i="1"/>
  <c r="AW1780" i="1"/>
  <c r="AV1780" i="1"/>
  <c r="AU1780" i="1"/>
  <c r="AT1780" i="1"/>
  <c r="Y1779" i="1"/>
  <c r="X1779" i="1"/>
  <c r="AX1779" i="1"/>
  <c r="AW1779" i="1"/>
  <c r="AV1779" i="1"/>
  <c r="AU1779" i="1"/>
  <c r="AT1779" i="1"/>
  <c r="Y1778" i="1"/>
  <c r="X1778" i="1"/>
  <c r="AX1778" i="1"/>
  <c r="AW1778" i="1"/>
  <c r="AV1778" i="1"/>
  <c r="AU1778" i="1"/>
  <c r="AT1778" i="1"/>
  <c r="Y1777" i="1"/>
  <c r="X1777" i="1"/>
  <c r="AX1777" i="1"/>
  <c r="AW1777" i="1"/>
  <c r="AV1777" i="1"/>
  <c r="AU1777" i="1"/>
  <c r="AT1777" i="1"/>
  <c r="Y1776" i="1"/>
  <c r="X1776" i="1"/>
  <c r="AX1776" i="1"/>
  <c r="AW1776" i="1"/>
  <c r="AV1776" i="1"/>
  <c r="AU1776" i="1"/>
  <c r="AT1776" i="1"/>
  <c r="Y1775" i="1"/>
  <c r="X1775" i="1"/>
  <c r="AX1775" i="1"/>
  <c r="AW1775" i="1"/>
  <c r="AV1775" i="1"/>
  <c r="AU1775" i="1"/>
  <c r="AT1775" i="1"/>
  <c r="Y1774" i="1"/>
  <c r="X1774" i="1"/>
  <c r="AX1774" i="1"/>
  <c r="AW1774" i="1"/>
  <c r="AV1774" i="1"/>
  <c r="AU1774" i="1"/>
  <c r="AT1774" i="1"/>
  <c r="Y1773" i="1"/>
  <c r="X1773" i="1"/>
  <c r="AX1773" i="1"/>
  <c r="AW1773" i="1"/>
  <c r="AV1773" i="1"/>
  <c r="AU1773" i="1"/>
  <c r="AT1773" i="1"/>
  <c r="Y1772" i="1"/>
  <c r="X1772" i="1"/>
  <c r="AX1772" i="1"/>
  <c r="AW1772" i="1"/>
  <c r="AV1772" i="1"/>
  <c r="AU1772" i="1"/>
  <c r="AT1772" i="1"/>
  <c r="Y1771" i="1"/>
  <c r="X1771" i="1"/>
  <c r="AX1771" i="1"/>
  <c r="AW1771" i="1"/>
  <c r="AV1771" i="1"/>
  <c r="AU1771" i="1"/>
  <c r="AT1771" i="1"/>
  <c r="Y1770" i="1"/>
  <c r="X1770" i="1"/>
  <c r="AX1770" i="1"/>
  <c r="AW1770" i="1"/>
  <c r="AV1770" i="1"/>
  <c r="AU1770" i="1"/>
  <c r="AT1770" i="1"/>
  <c r="Y1769" i="1"/>
  <c r="X1769" i="1"/>
  <c r="AX1769" i="1"/>
  <c r="AW1769" i="1"/>
  <c r="AV1769" i="1"/>
  <c r="AU1769" i="1"/>
  <c r="AT1769" i="1"/>
  <c r="Y1768" i="1"/>
  <c r="X1768" i="1"/>
  <c r="AX1768" i="1"/>
  <c r="AW1768" i="1"/>
  <c r="AV1768" i="1"/>
  <c r="AU1768" i="1"/>
  <c r="AT1768" i="1"/>
  <c r="Y1767" i="1"/>
  <c r="X1767" i="1"/>
  <c r="AX1767" i="1"/>
  <c r="AW1767" i="1"/>
  <c r="AV1767" i="1"/>
  <c r="AU1767" i="1"/>
  <c r="AT1767" i="1"/>
  <c r="Y1766" i="1"/>
  <c r="X1766" i="1"/>
  <c r="AX1766" i="1"/>
  <c r="AW1766" i="1"/>
  <c r="AV1766" i="1"/>
  <c r="AU1766" i="1"/>
  <c r="AT1766" i="1"/>
  <c r="Y1765" i="1"/>
  <c r="X1765" i="1"/>
  <c r="AX1765" i="1"/>
  <c r="AW1765" i="1"/>
  <c r="AV1765" i="1"/>
  <c r="AU1765" i="1"/>
  <c r="AT1765" i="1"/>
  <c r="Y1764" i="1"/>
  <c r="X1764" i="1"/>
  <c r="AX1764" i="1"/>
  <c r="AW1764" i="1"/>
  <c r="AV1764" i="1"/>
  <c r="AU1764" i="1"/>
  <c r="AT1764" i="1"/>
  <c r="Y1763" i="1"/>
  <c r="X1763" i="1"/>
  <c r="AX1763" i="1"/>
  <c r="AW1763" i="1"/>
  <c r="AV1763" i="1"/>
  <c r="AU1763" i="1"/>
  <c r="AT1763" i="1"/>
  <c r="Y1762" i="1"/>
  <c r="X1762" i="1"/>
  <c r="AX1762" i="1"/>
  <c r="AW1762" i="1"/>
  <c r="AV1762" i="1"/>
  <c r="AU1762" i="1"/>
  <c r="AT1762" i="1"/>
  <c r="Y1761" i="1"/>
  <c r="X1761" i="1"/>
  <c r="AX1761" i="1"/>
  <c r="AW1761" i="1"/>
  <c r="AV1761" i="1"/>
  <c r="AU1761" i="1"/>
  <c r="AT1761" i="1"/>
  <c r="Y1760" i="1"/>
  <c r="X1760" i="1"/>
  <c r="AX1760" i="1"/>
  <c r="AW1760" i="1"/>
  <c r="AV1760" i="1"/>
  <c r="AU1760" i="1"/>
  <c r="AT1760" i="1"/>
  <c r="Y1759" i="1"/>
  <c r="X1759" i="1"/>
  <c r="AX1759" i="1"/>
  <c r="AW1759" i="1"/>
  <c r="AV1759" i="1"/>
  <c r="AU1759" i="1"/>
  <c r="AT1759" i="1"/>
  <c r="Y1758" i="1"/>
  <c r="X1758" i="1"/>
  <c r="AX1758" i="1"/>
  <c r="AW1758" i="1"/>
  <c r="AV1758" i="1"/>
  <c r="AU1758" i="1"/>
  <c r="AT1758" i="1"/>
  <c r="Y1757" i="1"/>
  <c r="X1757" i="1"/>
  <c r="AX1757" i="1"/>
  <c r="AW1757" i="1"/>
  <c r="AV1757" i="1"/>
  <c r="AU1757" i="1"/>
  <c r="AT1757" i="1"/>
  <c r="Y1756" i="1"/>
  <c r="X1756" i="1"/>
  <c r="AX1756" i="1"/>
  <c r="AW1756" i="1"/>
  <c r="AV1756" i="1"/>
  <c r="AU1756" i="1"/>
  <c r="AT1756" i="1"/>
  <c r="Y1755" i="1"/>
  <c r="X1755" i="1"/>
  <c r="AX1755" i="1"/>
  <c r="AW1755" i="1"/>
  <c r="AV1755" i="1"/>
  <c r="AU1755" i="1"/>
  <c r="AT1755" i="1"/>
  <c r="Y1754" i="1"/>
  <c r="X1754" i="1"/>
  <c r="AX1754" i="1"/>
  <c r="AW1754" i="1"/>
  <c r="AV1754" i="1"/>
  <c r="AU1754" i="1"/>
  <c r="AT1754" i="1"/>
  <c r="Y1753" i="1"/>
  <c r="X1753" i="1"/>
  <c r="AX1753" i="1"/>
  <c r="AW1753" i="1"/>
  <c r="AV1753" i="1"/>
  <c r="AU1753" i="1"/>
  <c r="AT1753" i="1"/>
  <c r="Y1752" i="1"/>
  <c r="X1752" i="1"/>
  <c r="AX1752" i="1"/>
  <c r="AW1752" i="1"/>
  <c r="AV1752" i="1"/>
  <c r="AU1752" i="1"/>
  <c r="AT1752" i="1"/>
  <c r="Y1751" i="1"/>
  <c r="X1751" i="1"/>
  <c r="AX1751" i="1"/>
  <c r="AW1751" i="1"/>
  <c r="AV1751" i="1"/>
  <c r="AU1751" i="1"/>
  <c r="AT1751" i="1"/>
  <c r="Y1750" i="1"/>
  <c r="X1750" i="1"/>
  <c r="AX1750" i="1"/>
  <c r="AW1750" i="1"/>
  <c r="AV1750" i="1"/>
  <c r="AU1750" i="1"/>
  <c r="AT1750" i="1"/>
  <c r="Y1749" i="1"/>
  <c r="X1749" i="1"/>
  <c r="AX1749" i="1"/>
  <c r="AW1749" i="1"/>
  <c r="AV1749" i="1"/>
  <c r="AU1749" i="1"/>
  <c r="AT1749" i="1"/>
  <c r="Y1748" i="1"/>
  <c r="X1748" i="1"/>
  <c r="AX1748" i="1"/>
  <c r="AW1748" i="1"/>
  <c r="AV1748" i="1"/>
  <c r="AU1748" i="1"/>
  <c r="AT1748" i="1"/>
  <c r="Y1747" i="1"/>
  <c r="X1747" i="1"/>
  <c r="AX1747" i="1"/>
  <c r="AW1747" i="1"/>
  <c r="AV1747" i="1"/>
  <c r="AU1747" i="1"/>
  <c r="AT1747" i="1"/>
  <c r="Y1746" i="1"/>
  <c r="X1746" i="1"/>
  <c r="AX1746" i="1"/>
  <c r="AW1746" i="1"/>
  <c r="AV1746" i="1"/>
  <c r="AU1746" i="1"/>
  <c r="AT1746" i="1"/>
  <c r="Y1745" i="1"/>
  <c r="X1745" i="1"/>
  <c r="AX1745" i="1"/>
  <c r="AW1745" i="1"/>
  <c r="AV1745" i="1"/>
  <c r="AU1745" i="1"/>
  <c r="AT1745" i="1"/>
  <c r="Y1744" i="1"/>
  <c r="X1744" i="1"/>
  <c r="AX1744" i="1"/>
  <c r="AW1744" i="1"/>
  <c r="AV1744" i="1"/>
  <c r="AU1744" i="1"/>
  <c r="AT1744" i="1"/>
  <c r="Y1743" i="1"/>
  <c r="X1743" i="1"/>
  <c r="AX1743" i="1"/>
  <c r="AW1743" i="1"/>
  <c r="AV1743" i="1"/>
  <c r="AU1743" i="1"/>
  <c r="AT1743" i="1"/>
  <c r="Y1742" i="1"/>
  <c r="X1742" i="1"/>
  <c r="AX1742" i="1"/>
  <c r="AW1742" i="1"/>
  <c r="AV1742" i="1"/>
  <c r="AU1742" i="1"/>
  <c r="AT1742" i="1"/>
  <c r="Y1740" i="1"/>
  <c r="X1740" i="1"/>
  <c r="AX1740" i="1"/>
  <c r="AW1740" i="1"/>
  <c r="AV1740" i="1"/>
  <c r="AU1740" i="1"/>
  <c r="AT1740" i="1"/>
  <c r="Y1739" i="1"/>
  <c r="X1739" i="1"/>
  <c r="AX1739" i="1"/>
  <c r="AW1739" i="1"/>
  <c r="AV1739" i="1"/>
  <c r="AU1739" i="1"/>
  <c r="AT1739" i="1"/>
  <c r="Y1738" i="1"/>
  <c r="X1738" i="1"/>
  <c r="AX1738" i="1"/>
  <c r="AW1738" i="1"/>
  <c r="AV1738" i="1"/>
  <c r="AU1738" i="1"/>
  <c r="AT1738" i="1"/>
  <c r="Y1737" i="1"/>
  <c r="X1737" i="1"/>
  <c r="AX1737" i="1"/>
  <c r="AW1737" i="1"/>
  <c r="AV1737" i="1"/>
  <c r="AU1737" i="1"/>
  <c r="AT1737" i="1"/>
  <c r="Y1736" i="1"/>
  <c r="X1736" i="1"/>
  <c r="AX1736" i="1"/>
  <c r="AW1736" i="1"/>
  <c r="AV1736" i="1"/>
  <c r="AU1736" i="1"/>
  <c r="AT1736" i="1"/>
  <c r="Y1735" i="1"/>
  <c r="X1735" i="1"/>
  <c r="AX1735" i="1"/>
  <c r="AW1735" i="1"/>
  <c r="AV1735" i="1"/>
  <c r="AU1735" i="1"/>
  <c r="AT1735" i="1"/>
  <c r="Y1734" i="1"/>
  <c r="X1734" i="1"/>
  <c r="AX1734" i="1"/>
  <c r="AW1734" i="1"/>
  <c r="AV1734" i="1"/>
  <c r="AU1734" i="1"/>
  <c r="AT1734" i="1"/>
  <c r="Y1733" i="1"/>
  <c r="X1733" i="1"/>
  <c r="AX1733" i="1"/>
  <c r="AW1733" i="1"/>
  <c r="AV1733" i="1"/>
  <c r="AU1733" i="1"/>
  <c r="AT1733" i="1"/>
  <c r="Y1732" i="1"/>
  <c r="X1732" i="1"/>
  <c r="AX1732" i="1"/>
  <c r="AW1732" i="1"/>
  <c r="AV1732" i="1"/>
  <c r="AU1732" i="1"/>
  <c r="AT1732" i="1"/>
  <c r="Y1731" i="1"/>
  <c r="X1731" i="1"/>
  <c r="AX1731" i="1"/>
  <c r="AW1731" i="1"/>
  <c r="AV1731" i="1"/>
  <c r="AU1731" i="1"/>
  <c r="AT1731" i="1"/>
  <c r="Y1730" i="1"/>
  <c r="X1730" i="1"/>
  <c r="AX1730" i="1"/>
  <c r="AW1730" i="1"/>
  <c r="AV1730" i="1"/>
  <c r="AU1730" i="1"/>
  <c r="AT1730" i="1"/>
  <c r="Y1729" i="1"/>
  <c r="X1729" i="1"/>
  <c r="AX1729" i="1"/>
  <c r="AW1729" i="1"/>
  <c r="AV1729" i="1"/>
  <c r="AU1729" i="1"/>
  <c r="AT1729" i="1"/>
  <c r="Y1727" i="1"/>
  <c r="X1727" i="1"/>
  <c r="AX1727" i="1"/>
  <c r="AW1727" i="1"/>
  <c r="AV1727" i="1"/>
  <c r="AU1727" i="1"/>
  <c r="AT1727" i="1"/>
  <c r="Y1726" i="1"/>
  <c r="X1726" i="1"/>
  <c r="AX1726" i="1"/>
  <c r="AW1726" i="1"/>
  <c r="AV1726" i="1"/>
  <c r="AU1726" i="1"/>
  <c r="AT1726" i="1"/>
  <c r="Y1725" i="1"/>
  <c r="X1725" i="1"/>
  <c r="AX1725" i="1"/>
  <c r="AW1725" i="1"/>
  <c r="AV1725" i="1"/>
  <c r="AU1725" i="1"/>
  <c r="AT1725" i="1"/>
  <c r="Y1724" i="1"/>
  <c r="X1724" i="1"/>
  <c r="AX1724" i="1"/>
  <c r="AW1724" i="1"/>
  <c r="AV1724" i="1"/>
  <c r="AU1724" i="1"/>
  <c r="AT1724" i="1"/>
  <c r="Y1723" i="1"/>
  <c r="X1723" i="1"/>
  <c r="AX1723" i="1"/>
  <c r="AW1723" i="1"/>
  <c r="AV1723" i="1"/>
  <c r="AU1723" i="1"/>
  <c r="AT1723" i="1"/>
  <c r="Y1722" i="1"/>
  <c r="X1722" i="1"/>
  <c r="AX1722" i="1"/>
  <c r="AW1722" i="1"/>
  <c r="AV1722" i="1"/>
  <c r="AU1722" i="1"/>
  <c r="AT1722" i="1"/>
  <c r="Y1720" i="1"/>
  <c r="X1720" i="1"/>
  <c r="AX1720" i="1"/>
  <c r="AW1720" i="1"/>
  <c r="AV1720" i="1"/>
  <c r="AU1720" i="1"/>
  <c r="AT1720" i="1"/>
  <c r="Y1719" i="1"/>
  <c r="X1719" i="1"/>
  <c r="AX1719" i="1"/>
  <c r="AW1719" i="1"/>
  <c r="AV1719" i="1"/>
  <c r="AU1719" i="1"/>
  <c r="AT1719" i="1"/>
  <c r="Y1718" i="1"/>
  <c r="X1718" i="1"/>
  <c r="AX1718" i="1"/>
  <c r="AW1718" i="1"/>
  <c r="AV1718" i="1"/>
  <c r="AU1718" i="1"/>
  <c r="AT1718" i="1"/>
  <c r="Y1717" i="1"/>
  <c r="X1717" i="1"/>
  <c r="AX1717" i="1"/>
  <c r="AW1717" i="1"/>
  <c r="AV1717" i="1"/>
  <c r="AU1717" i="1"/>
  <c r="AT1717" i="1"/>
  <c r="Y1716" i="1"/>
  <c r="X1716" i="1"/>
  <c r="AX1716" i="1"/>
  <c r="AW1716" i="1"/>
  <c r="AV1716" i="1"/>
  <c r="AU1716" i="1"/>
  <c r="AT1716" i="1"/>
  <c r="Y1715" i="1"/>
  <c r="X1715" i="1"/>
  <c r="AX1715" i="1"/>
  <c r="AW1715" i="1"/>
  <c r="AV1715" i="1"/>
  <c r="AU1715" i="1"/>
  <c r="AT1715" i="1"/>
  <c r="Y1714" i="1"/>
  <c r="X1714" i="1"/>
  <c r="AX1714" i="1"/>
  <c r="AW1714" i="1"/>
  <c r="AV1714" i="1"/>
  <c r="AU1714" i="1"/>
  <c r="AT1714" i="1"/>
  <c r="Y1713" i="1"/>
  <c r="X1713" i="1"/>
  <c r="AX1713" i="1"/>
  <c r="AW1713" i="1"/>
  <c r="AV1713" i="1"/>
  <c r="AU1713" i="1"/>
  <c r="AT1713" i="1"/>
  <c r="Y1712" i="1"/>
  <c r="X1712" i="1"/>
  <c r="AX1712" i="1"/>
  <c r="AW1712" i="1"/>
  <c r="AV1712" i="1"/>
  <c r="AU1712" i="1"/>
  <c r="AT1712" i="1"/>
  <c r="Y1711" i="1"/>
  <c r="X1711" i="1"/>
  <c r="AX1711" i="1"/>
  <c r="AW1711" i="1"/>
  <c r="AV1711" i="1"/>
  <c r="AU1711" i="1"/>
  <c r="AT1711" i="1"/>
  <c r="Y1710" i="1"/>
  <c r="X1710" i="1"/>
  <c r="AX1710" i="1"/>
  <c r="AW1710" i="1"/>
  <c r="AV1710" i="1"/>
  <c r="AU1710" i="1"/>
  <c r="AT1710" i="1"/>
  <c r="Y1709" i="1"/>
  <c r="X1709" i="1"/>
  <c r="AX1709" i="1"/>
  <c r="AW1709" i="1"/>
  <c r="AV1709" i="1"/>
  <c r="AU1709" i="1"/>
  <c r="AT1709" i="1"/>
  <c r="Y1708" i="1"/>
  <c r="X1708" i="1"/>
  <c r="AX1708" i="1"/>
  <c r="AW1708" i="1"/>
  <c r="AV1708" i="1"/>
  <c r="AU1708" i="1"/>
  <c r="AT1708" i="1"/>
  <c r="Y1707" i="1"/>
  <c r="X1707" i="1"/>
  <c r="AX1707" i="1"/>
  <c r="AW1707" i="1"/>
  <c r="AV1707" i="1"/>
  <c r="AU1707" i="1"/>
  <c r="AT1707" i="1"/>
  <c r="Y1706" i="1"/>
  <c r="X1706" i="1"/>
  <c r="AX1706" i="1"/>
  <c r="AW1706" i="1"/>
  <c r="AV1706" i="1"/>
  <c r="AU1706" i="1"/>
  <c r="AT1706" i="1"/>
  <c r="Y1705" i="1"/>
  <c r="X1705" i="1"/>
  <c r="AX1705" i="1"/>
  <c r="AW1705" i="1"/>
  <c r="AV1705" i="1"/>
  <c r="AU1705" i="1"/>
  <c r="AT1705" i="1"/>
  <c r="Y1704" i="1"/>
  <c r="X1704" i="1"/>
  <c r="AX1704" i="1"/>
  <c r="AW1704" i="1"/>
  <c r="AV1704" i="1"/>
  <c r="AU1704" i="1"/>
  <c r="AT1704" i="1"/>
  <c r="Y1703" i="1"/>
  <c r="X1703" i="1"/>
  <c r="AX1703" i="1"/>
  <c r="AW1703" i="1"/>
  <c r="AV1703" i="1"/>
  <c r="AU1703" i="1"/>
  <c r="AT1703" i="1"/>
  <c r="Y1702" i="1"/>
  <c r="X1702" i="1"/>
  <c r="AX1702" i="1"/>
  <c r="AW1702" i="1"/>
  <c r="AV1702" i="1"/>
  <c r="AU1702" i="1"/>
  <c r="AT1702" i="1"/>
  <c r="Y1701" i="1"/>
  <c r="X1701" i="1"/>
  <c r="AX1701" i="1"/>
  <c r="AW1701" i="1"/>
  <c r="AV1701" i="1"/>
  <c r="AU1701" i="1"/>
  <c r="AT1701" i="1"/>
  <c r="Y1700" i="1"/>
  <c r="X1700" i="1"/>
  <c r="AX1700" i="1"/>
  <c r="AW1700" i="1"/>
  <c r="AV1700" i="1"/>
  <c r="AU1700" i="1"/>
  <c r="AT1700" i="1"/>
  <c r="Y1699" i="1"/>
  <c r="X1699" i="1"/>
  <c r="AX1699" i="1"/>
  <c r="AW1699" i="1"/>
  <c r="AV1699" i="1"/>
  <c r="AU1699" i="1"/>
  <c r="AT1699" i="1"/>
  <c r="Y1698" i="1"/>
  <c r="X1698" i="1"/>
  <c r="AX1698" i="1"/>
  <c r="AW1698" i="1"/>
  <c r="AV1698" i="1"/>
  <c r="AU1698" i="1"/>
  <c r="AT1698" i="1"/>
  <c r="Y1697" i="1"/>
  <c r="X1697" i="1"/>
  <c r="AX1697" i="1"/>
  <c r="AW1697" i="1"/>
  <c r="AV1697" i="1"/>
  <c r="AU1697" i="1"/>
  <c r="AT1697" i="1"/>
  <c r="Y1696" i="1"/>
  <c r="X1696" i="1"/>
  <c r="AX1696" i="1"/>
  <c r="AW1696" i="1"/>
  <c r="AV1696" i="1"/>
  <c r="AU1696" i="1"/>
  <c r="AT1696" i="1"/>
  <c r="Y1695" i="1"/>
  <c r="X1695" i="1"/>
  <c r="AX1695" i="1"/>
  <c r="AW1695" i="1"/>
  <c r="AV1695" i="1"/>
  <c r="AU1695" i="1"/>
  <c r="AT1695" i="1"/>
  <c r="Y1694" i="1"/>
  <c r="X1694" i="1"/>
  <c r="AX1694" i="1"/>
  <c r="AW1694" i="1"/>
  <c r="AV1694" i="1"/>
  <c r="AU1694" i="1"/>
  <c r="AT1694" i="1"/>
  <c r="Y1693" i="1"/>
  <c r="X1693" i="1"/>
  <c r="AX1693" i="1"/>
  <c r="AW1693" i="1"/>
  <c r="AV1693" i="1"/>
  <c r="AU1693" i="1"/>
  <c r="AT1693" i="1"/>
  <c r="Y1692" i="1"/>
  <c r="X1692" i="1"/>
  <c r="AX1692" i="1"/>
  <c r="AW1692" i="1"/>
  <c r="AV1692" i="1"/>
  <c r="AU1692" i="1"/>
  <c r="AT1692" i="1"/>
  <c r="Y1691" i="1"/>
  <c r="X1691" i="1"/>
  <c r="AX1691" i="1"/>
  <c r="AW1691" i="1"/>
  <c r="AV1691" i="1"/>
  <c r="AU1691" i="1"/>
  <c r="AT1691" i="1"/>
  <c r="Y1690" i="1"/>
  <c r="X1690" i="1"/>
  <c r="AX1690" i="1"/>
  <c r="AW1690" i="1"/>
  <c r="AV1690" i="1"/>
  <c r="AU1690" i="1"/>
  <c r="AT1690" i="1"/>
  <c r="Y1689" i="1"/>
  <c r="X1689" i="1"/>
  <c r="AX1689" i="1"/>
  <c r="AW1689" i="1"/>
  <c r="AV1689" i="1"/>
  <c r="AU1689" i="1"/>
  <c r="AT1689" i="1"/>
  <c r="Y1688" i="1"/>
  <c r="X1688" i="1"/>
  <c r="AX1688" i="1"/>
  <c r="AW1688" i="1"/>
  <c r="AV1688" i="1"/>
  <c r="AU1688" i="1"/>
  <c r="AT1688" i="1"/>
  <c r="Y1687" i="1"/>
  <c r="X1687" i="1"/>
  <c r="AX1687" i="1"/>
  <c r="AW1687" i="1"/>
  <c r="AV1687" i="1"/>
  <c r="AU1687" i="1"/>
  <c r="AT1687" i="1"/>
  <c r="Y1686" i="1"/>
  <c r="X1686" i="1"/>
  <c r="AX1686" i="1"/>
  <c r="AW1686" i="1"/>
  <c r="AV1686" i="1"/>
  <c r="AU1686" i="1"/>
  <c r="AT1686" i="1"/>
  <c r="Y1685" i="1"/>
  <c r="X1685" i="1"/>
  <c r="AX1685" i="1"/>
  <c r="AW1685" i="1"/>
  <c r="AV1685" i="1"/>
  <c r="AU1685" i="1"/>
  <c r="AT1685" i="1"/>
  <c r="A11" i="1"/>
  <c r="Y1682" i="1"/>
  <c r="X1682" i="1"/>
  <c r="AX1682" i="1"/>
  <c r="AW1682" i="1"/>
  <c r="AV1682" i="1"/>
  <c r="AU1682" i="1"/>
  <c r="AT1682" i="1"/>
  <c r="Y1680" i="1"/>
  <c r="X1680" i="1"/>
  <c r="AX1680" i="1"/>
  <c r="AW1680" i="1"/>
  <c r="AV1680" i="1"/>
  <c r="AU1680" i="1"/>
  <c r="AT1680" i="1"/>
  <c r="Y1679" i="1"/>
  <c r="X1679" i="1"/>
  <c r="AX1679" i="1"/>
  <c r="AW1679" i="1"/>
  <c r="AV1679" i="1"/>
  <c r="AU1679" i="1"/>
  <c r="AT1679" i="1"/>
  <c r="Y1678" i="1"/>
  <c r="X1678" i="1"/>
  <c r="AX1678" i="1"/>
  <c r="AW1678" i="1"/>
  <c r="AV1678" i="1"/>
  <c r="AU1678" i="1"/>
  <c r="AT1678" i="1"/>
  <c r="Y1677" i="1"/>
  <c r="X1677" i="1"/>
  <c r="AX1677" i="1"/>
  <c r="AW1677" i="1"/>
  <c r="AV1677" i="1"/>
  <c r="AU1677" i="1"/>
  <c r="AT1677" i="1"/>
  <c r="Y1676" i="1"/>
  <c r="X1676" i="1"/>
  <c r="AX1676" i="1"/>
  <c r="AW1676" i="1"/>
  <c r="AV1676" i="1"/>
  <c r="AU1676" i="1"/>
  <c r="AT1676" i="1"/>
  <c r="Y1675" i="1"/>
  <c r="X1675" i="1"/>
  <c r="AX1675" i="1"/>
  <c r="AW1675" i="1"/>
  <c r="AV1675" i="1"/>
  <c r="AU1675" i="1"/>
  <c r="AT1675" i="1"/>
  <c r="Y1674" i="1"/>
  <c r="X1674" i="1"/>
  <c r="AX1674" i="1"/>
  <c r="AW1674" i="1"/>
  <c r="AV1674" i="1"/>
  <c r="AU1674" i="1"/>
  <c r="AT1674" i="1"/>
  <c r="Y1673" i="1"/>
  <c r="X1673" i="1"/>
  <c r="AX1673" i="1"/>
  <c r="AW1673" i="1"/>
  <c r="AV1673" i="1"/>
  <c r="AU1673" i="1"/>
  <c r="AT1673" i="1"/>
  <c r="Y1672" i="1"/>
  <c r="X1672" i="1"/>
  <c r="AX1672" i="1"/>
  <c r="AW1672" i="1"/>
  <c r="AV1672" i="1"/>
  <c r="AU1672" i="1"/>
  <c r="AT1672" i="1"/>
  <c r="Y1671" i="1"/>
  <c r="X1671" i="1"/>
  <c r="AX1671" i="1"/>
  <c r="AW1671" i="1"/>
  <c r="AV1671" i="1"/>
  <c r="AU1671" i="1"/>
  <c r="AT1671" i="1"/>
  <c r="Y1670" i="1"/>
  <c r="X1670" i="1"/>
  <c r="AX1670" i="1"/>
  <c r="AW1670" i="1"/>
  <c r="AV1670" i="1"/>
  <c r="AU1670" i="1"/>
  <c r="AT1670" i="1"/>
  <c r="Y1668" i="1"/>
  <c r="X1668" i="1"/>
  <c r="AX1668" i="1"/>
  <c r="AW1668" i="1"/>
  <c r="AV1668" i="1"/>
  <c r="AU1668" i="1"/>
  <c r="AT1668" i="1"/>
  <c r="Y1667" i="1"/>
  <c r="X1667" i="1"/>
  <c r="AX1667" i="1"/>
  <c r="AW1667" i="1"/>
  <c r="AV1667" i="1"/>
  <c r="AU1667" i="1"/>
  <c r="AT1667" i="1"/>
  <c r="Y1666" i="1"/>
  <c r="X1666" i="1"/>
  <c r="AX1666" i="1"/>
  <c r="AW1666" i="1"/>
  <c r="AV1666" i="1"/>
  <c r="AU1666" i="1"/>
  <c r="AT1666" i="1"/>
  <c r="Y1665" i="1"/>
  <c r="X1665" i="1"/>
  <c r="AX1665" i="1"/>
  <c r="AW1665" i="1"/>
  <c r="AV1665" i="1"/>
  <c r="AU1665" i="1"/>
  <c r="AT1665" i="1"/>
  <c r="Y1664" i="1"/>
  <c r="X1664" i="1"/>
  <c r="AX1664" i="1"/>
  <c r="AW1664" i="1"/>
  <c r="AV1664" i="1"/>
  <c r="AU1664" i="1"/>
  <c r="AT1664" i="1"/>
  <c r="Y1663" i="1"/>
  <c r="X1663" i="1"/>
  <c r="AX1663" i="1"/>
  <c r="AW1663" i="1"/>
  <c r="AV1663" i="1"/>
  <c r="AU1663" i="1"/>
  <c r="AT1663" i="1"/>
  <c r="Y1662" i="1"/>
  <c r="X1662" i="1"/>
  <c r="AX1662" i="1"/>
  <c r="AW1662" i="1"/>
  <c r="AV1662" i="1"/>
  <c r="AU1662" i="1"/>
  <c r="AT1662" i="1"/>
  <c r="Y1660" i="1"/>
  <c r="X1660" i="1"/>
  <c r="AX1660" i="1"/>
  <c r="AW1660" i="1"/>
  <c r="AV1660" i="1"/>
  <c r="AU1660" i="1"/>
  <c r="AT1660" i="1"/>
  <c r="Y1659" i="1"/>
  <c r="X1659" i="1"/>
  <c r="AX1659" i="1"/>
  <c r="AW1659" i="1"/>
  <c r="AV1659" i="1"/>
  <c r="AU1659" i="1"/>
  <c r="AT1659" i="1"/>
  <c r="Y1658" i="1"/>
  <c r="X1658" i="1"/>
  <c r="AX1658" i="1"/>
  <c r="AW1658" i="1"/>
  <c r="AV1658" i="1"/>
  <c r="AU1658" i="1"/>
  <c r="AT1658" i="1"/>
  <c r="Y1657" i="1"/>
  <c r="X1657" i="1"/>
  <c r="AX1657" i="1"/>
  <c r="AW1657" i="1"/>
  <c r="AV1657" i="1"/>
  <c r="AU1657" i="1"/>
  <c r="AT1657" i="1"/>
  <c r="Y1655" i="1"/>
  <c r="X1655" i="1"/>
  <c r="AX1655" i="1"/>
  <c r="AW1655" i="1"/>
  <c r="AV1655" i="1"/>
  <c r="AU1655" i="1"/>
  <c r="AT1655" i="1"/>
  <c r="Y1654" i="1"/>
  <c r="X1654" i="1"/>
  <c r="AX1654" i="1"/>
  <c r="AW1654" i="1"/>
  <c r="AV1654" i="1"/>
  <c r="AU1654" i="1"/>
  <c r="AT1654" i="1"/>
  <c r="Y1653" i="1"/>
  <c r="X1653" i="1"/>
  <c r="AX1653" i="1"/>
  <c r="AW1653" i="1"/>
  <c r="AV1653" i="1"/>
  <c r="AU1653" i="1"/>
  <c r="AT1653" i="1"/>
  <c r="Y1651" i="1"/>
  <c r="X1651" i="1"/>
  <c r="AX1651" i="1"/>
  <c r="AW1651" i="1"/>
  <c r="AV1651" i="1"/>
  <c r="AU1651" i="1"/>
  <c r="AT1651" i="1"/>
  <c r="Y1650" i="1"/>
  <c r="X1650" i="1"/>
  <c r="AX1650" i="1"/>
  <c r="AW1650" i="1"/>
  <c r="AV1650" i="1"/>
  <c r="AU1650" i="1"/>
  <c r="AT1650" i="1"/>
  <c r="Y1649" i="1"/>
  <c r="X1649" i="1"/>
  <c r="AX1649" i="1"/>
  <c r="AW1649" i="1"/>
  <c r="AV1649" i="1"/>
  <c r="AU1649" i="1"/>
  <c r="AT1649" i="1"/>
  <c r="Y1648" i="1"/>
  <c r="X1648" i="1"/>
  <c r="AX1648" i="1"/>
  <c r="AW1648" i="1"/>
  <c r="AV1648" i="1"/>
  <c r="AU1648" i="1"/>
  <c r="AT1648" i="1"/>
  <c r="Y1647" i="1"/>
  <c r="X1647" i="1"/>
  <c r="AX1647" i="1"/>
  <c r="AW1647" i="1"/>
  <c r="AV1647" i="1"/>
  <c r="AU1647" i="1"/>
  <c r="AT1647" i="1"/>
  <c r="Y1646" i="1"/>
  <c r="X1646" i="1"/>
  <c r="AX1646" i="1"/>
  <c r="AW1646" i="1"/>
  <c r="AV1646" i="1"/>
  <c r="AU1646" i="1"/>
  <c r="AT1646" i="1"/>
  <c r="Y1645" i="1"/>
  <c r="X1645" i="1"/>
  <c r="AX1645" i="1"/>
  <c r="AW1645" i="1"/>
  <c r="AV1645" i="1"/>
  <c r="AU1645" i="1"/>
  <c r="AT1645" i="1"/>
  <c r="Y1644" i="1"/>
  <c r="X1644" i="1"/>
  <c r="AX1644" i="1"/>
  <c r="AW1644" i="1"/>
  <c r="AV1644" i="1"/>
  <c r="AU1644" i="1"/>
  <c r="AT1644" i="1"/>
  <c r="A10" i="1"/>
  <c r="Y1641" i="1"/>
  <c r="X1641" i="1"/>
  <c r="AX1641" i="1"/>
  <c r="AW1641" i="1"/>
  <c r="AV1641" i="1"/>
  <c r="AU1641" i="1"/>
  <c r="AT1641" i="1"/>
  <c r="Y1640" i="1"/>
  <c r="X1640" i="1"/>
  <c r="AX1640" i="1"/>
  <c r="AW1640" i="1"/>
  <c r="AV1640" i="1"/>
  <c r="AU1640" i="1"/>
  <c r="AT1640" i="1"/>
  <c r="Y1639" i="1"/>
  <c r="X1639" i="1"/>
  <c r="AX1639" i="1"/>
  <c r="AW1639" i="1"/>
  <c r="AV1639" i="1"/>
  <c r="AU1639" i="1"/>
  <c r="AT1639" i="1"/>
  <c r="Y1638" i="1"/>
  <c r="X1638" i="1"/>
  <c r="AX1638" i="1"/>
  <c r="AW1638" i="1"/>
  <c r="AV1638" i="1"/>
  <c r="AU1638" i="1"/>
  <c r="AT1638" i="1"/>
  <c r="Y1637" i="1"/>
  <c r="X1637" i="1"/>
  <c r="AX1637" i="1"/>
  <c r="AW1637" i="1"/>
  <c r="AV1637" i="1"/>
  <c r="AU1637" i="1"/>
  <c r="AT1637" i="1"/>
  <c r="Y1635" i="1"/>
  <c r="X1635" i="1"/>
  <c r="AX1635" i="1"/>
  <c r="AW1635" i="1"/>
  <c r="AV1635" i="1"/>
  <c r="AU1635" i="1"/>
  <c r="AT1635" i="1"/>
  <c r="Y1634" i="1"/>
  <c r="X1634" i="1"/>
  <c r="AX1634" i="1"/>
  <c r="AW1634" i="1"/>
  <c r="AV1634" i="1"/>
  <c r="AU1634" i="1"/>
  <c r="AT1634" i="1"/>
  <c r="Y1633" i="1"/>
  <c r="X1633" i="1"/>
  <c r="AX1633" i="1"/>
  <c r="AW1633" i="1"/>
  <c r="AV1633" i="1"/>
  <c r="AU1633" i="1"/>
  <c r="AT1633" i="1"/>
  <c r="Y1632" i="1"/>
  <c r="X1632" i="1"/>
  <c r="AX1632" i="1"/>
  <c r="AW1632" i="1"/>
  <c r="AV1632" i="1"/>
  <c r="AU1632" i="1"/>
  <c r="AT1632" i="1"/>
  <c r="Y1631" i="1"/>
  <c r="X1631" i="1"/>
  <c r="AX1631" i="1"/>
  <c r="AW1631" i="1"/>
  <c r="AV1631" i="1"/>
  <c r="AU1631" i="1"/>
  <c r="AT1631" i="1"/>
  <c r="Y1630" i="1"/>
  <c r="X1630" i="1"/>
  <c r="AX1630" i="1"/>
  <c r="AW1630" i="1"/>
  <c r="AV1630" i="1"/>
  <c r="AU1630" i="1"/>
  <c r="AT1630" i="1"/>
  <c r="Y1629" i="1"/>
  <c r="X1629" i="1"/>
  <c r="AX1629" i="1"/>
  <c r="AW1629" i="1"/>
  <c r="AV1629" i="1"/>
  <c r="AU1629" i="1"/>
  <c r="AT1629" i="1"/>
  <c r="Y1628" i="1"/>
  <c r="X1628" i="1"/>
  <c r="AX1628" i="1"/>
  <c r="AW1628" i="1"/>
  <c r="AV1628" i="1"/>
  <c r="AU1628" i="1"/>
  <c r="AT1628" i="1"/>
  <c r="Y1627" i="1"/>
  <c r="X1627" i="1"/>
  <c r="AX1627" i="1"/>
  <c r="AW1627" i="1"/>
  <c r="AV1627" i="1"/>
  <c r="AU1627" i="1"/>
  <c r="AT1627" i="1"/>
  <c r="Y1625" i="1"/>
  <c r="X1625" i="1"/>
  <c r="AX1625" i="1"/>
  <c r="AW1625" i="1"/>
  <c r="AV1625" i="1"/>
  <c r="AU1625" i="1"/>
  <c r="AT1625" i="1"/>
  <c r="Y1624" i="1"/>
  <c r="X1624" i="1"/>
  <c r="AX1624" i="1"/>
  <c r="AW1624" i="1"/>
  <c r="AV1624" i="1"/>
  <c r="AU1624" i="1"/>
  <c r="AT1624" i="1"/>
  <c r="Y1623" i="1"/>
  <c r="X1623" i="1"/>
  <c r="AX1623" i="1"/>
  <c r="AW1623" i="1"/>
  <c r="AV1623" i="1"/>
  <c r="AU1623" i="1"/>
  <c r="AT1623" i="1"/>
  <c r="Y1622" i="1"/>
  <c r="X1622" i="1"/>
  <c r="AX1622" i="1"/>
  <c r="AW1622" i="1"/>
  <c r="AV1622" i="1"/>
  <c r="AU1622" i="1"/>
  <c r="AT1622" i="1"/>
  <c r="Y1621" i="1"/>
  <c r="X1621" i="1"/>
  <c r="AX1621" i="1"/>
  <c r="AW1621" i="1"/>
  <c r="AV1621" i="1"/>
  <c r="AU1621" i="1"/>
  <c r="AT1621" i="1"/>
  <c r="Y1620" i="1"/>
  <c r="X1620" i="1"/>
  <c r="AX1620" i="1"/>
  <c r="AW1620" i="1"/>
  <c r="AV1620" i="1"/>
  <c r="AU1620" i="1"/>
  <c r="AT1620" i="1"/>
  <c r="Y1619" i="1"/>
  <c r="X1619" i="1"/>
  <c r="AX1619" i="1"/>
  <c r="AW1619" i="1"/>
  <c r="AV1619" i="1"/>
  <c r="AU1619" i="1"/>
  <c r="AT1619" i="1"/>
  <c r="Y1618" i="1"/>
  <c r="X1618" i="1"/>
  <c r="AX1618" i="1"/>
  <c r="AW1618" i="1"/>
  <c r="AV1618" i="1"/>
  <c r="AU1618" i="1"/>
  <c r="AT1618" i="1"/>
  <c r="Y1617" i="1"/>
  <c r="X1617" i="1"/>
  <c r="AX1617" i="1"/>
  <c r="AW1617" i="1"/>
  <c r="AV1617" i="1"/>
  <c r="AU1617" i="1"/>
  <c r="AT1617" i="1"/>
  <c r="Y1616" i="1"/>
  <c r="X1616" i="1"/>
  <c r="AX1616" i="1"/>
  <c r="AW1616" i="1"/>
  <c r="AV1616" i="1"/>
  <c r="AU1616" i="1"/>
  <c r="AT1616" i="1"/>
  <c r="Y1615" i="1"/>
  <c r="X1615" i="1"/>
  <c r="AX1615" i="1"/>
  <c r="AW1615" i="1"/>
  <c r="AV1615" i="1"/>
  <c r="AU1615" i="1"/>
  <c r="AT1615" i="1"/>
  <c r="Y1614" i="1"/>
  <c r="X1614" i="1"/>
  <c r="AX1614" i="1"/>
  <c r="AW1614" i="1"/>
  <c r="AV1614" i="1"/>
  <c r="AU1614" i="1"/>
  <c r="AT1614" i="1"/>
  <c r="Y1613" i="1"/>
  <c r="X1613" i="1"/>
  <c r="AX1613" i="1"/>
  <c r="AW1613" i="1"/>
  <c r="AV1613" i="1"/>
  <c r="AU1613" i="1"/>
  <c r="AT1613" i="1"/>
  <c r="Y1612" i="1"/>
  <c r="X1612" i="1"/>
  <c r="AX1612" i="1"/>
  <c r="AW1612" i="1"/>
  <c r="AV1612" i="1"/>
  <c r="AU1612" i="1"/>
  <c r="AT1612" i="1"/>
  <c r="Y1611" i="1"/>
  <c r="X1611" i="1"/>
  <c r="AX1611" i="1"/>
  <c r="AW1611" i="1"/>
  <c r="AV1611" i="1"/>
  <c r="AU1611" i="1"/>
  <c r="AT1611" i="1"/>
  <c r="Y1610" i="1"/>
  <c r="X1610" i="1"/>
  <c r="AX1610" i="1"/>
  <c r="AW1610" i="1"/>
  <c r="AV1610" i="1"/>
  <c r="AU1610" i="1"/>
  <c r="AT1610" i="1"/>
  <c r="Y1609" i="1"/>
  <c r="X1609" i="1"/>
  <c r="AX1609" i="1"/>
  <c r="AW1609" i="1"/>
  <c r="AV1609" i="1"/>
  <c r="AU1609" i="1"/>
  <c r="AT1609" i="1"/>
  <c r="Y1608" i="1"/>
  <c r="X1608" i="1"/>
  <c r="AX1608" i="1"/>
  <c r="AW1608" i="1"/>
  <c r="AV1608" i="1"/>
  <c r="AU1608" i="1"/>
  <c r="AT1608" i="1"/>
  <c r="Y1607" i="1"/>
  <c r="X1607" i="1"/>
  <c r="AX1607" i="1"/>
  <c r="AW1607" i="1"/>
  <c r="AV1607" i="1"/>
  <c r="AU1607" i="1"/>
  <c r="AT1607" i="1"/>
  <c r="Y1606" i="1"/>
  <c r="X1606" i="1"/>
  <c r="AX1606" i="1"/>
  <c r="AW1606" i="1"/>
  <c r="AV1606" i="1"/>
  <c r="AU1606" i="1"/>
  <c r="AT1606" i="1"/>
  <c r="Y1605" i="1"/>
  <c r="X1605" i="1"/>
  <c r="AX1605" i="1"/>
  <c r="AW1605" i="1"/>
  <c r="AV1605" i="1"/>
  <c r="AU1605" i="1"/>
  <c r="AT1605" i="1"/>
  <c r="Y1604" i="1"/>
  <c r="X1604" i="1"/>
  <c r="AX1604" i="1"/>
  <c r="AW1604" i="1"/>
  <c r="AV1604" i="1"/>
  <c r="AU1604" i="1"/>
  <c r="AT1604" i="1"/>
  <c r="Y1603" i="1"/>
  <c r="X1603" i="1"/>
  <c r="AX1603" i="1"/>
  <c r="AW1603" i="1"/>
  <c r="AV1603" i="1"/>
  <c r="AU1603" i="1"/>
  <c r="AT1603" i="1"/>
  <c r="Y1602" i="1"/>
  <c r="X1602" i="1"/>
  <c r="AX1602" i="1"/>
  <c r="AW1602" i="1"/>
  <c r="AV1602" i="1"/>
  <c r="AU1602" i="1"/>
  <c r="AT1602" i="1"/>
  <c r="Y1601" i="1"/>
  <c r="X1601" i="1"/>
  <c r="AX1601" i="1"/>
  <c r="AW1601" i="1"/>
  <c r="AV1601" i="1"/>
  <c r="AU1601" i="1"/>
  <c r="AT1601" i="1"/>
  <c r="Y1600" i="1"/>
  <c r="X1600" i="1"/>
  <c r="AX1600" i="1"/>
  <c r="AW1600" i="1"/>
  <c r="AV1600" i="1"/>
  <c r="AU1600" i="1"/>
  <c r="AT1600" i="1"/>
  <c r="Y1599" i="1"/>
  <c r="X1599" i="1"/>
  <c r="AX1599" i="1"/>
  <c r="AW1599" i="1"/>
  <c r="AV1599" i="1"/>
  <c r="AU1599" i="1"/>
  <c r="AT1599" i="1"/>
  <c r="Y1598" i="1"/>
  <c r="X1598" i="1"/>
  <c r="AX1598" i="1"/>
  <c r="AW1598" i="1"/>
  <c r="AV1598" i="1"/>
  <c r="AU1598" i="1"/>
  <c r="AT1598" i="1"/>
  <c r="Y1597" i="1"/>
  <c r="X1597" i="1"/>
  <c r="AX1597" i="1"/>
  <c r="AW1597" i="1"/>
  <c r="AV1597" i="1"/>
  <c r="AU1597" i="1"/>
  <c r="AT1597" i="1"/>
  <c r="Y1596" i="1"/>
  <c r="X1596" i="1"/>
  <c r="AX1596" i="1"/>
  <c r="AW1596" i="1"/>
  <c r="AV1596" i="1"/>
  <c r="AU1596" i="1"/>
  <c r="AT1596" i="1"/>
  <c r="Y1595" i="1"/>
  <c r="X1595" i="1"/>
  <c r="AX1595" i="1"/>
  <c r="AW1595" i="1"/>
  <c r="AV1595" i="1"/>
  <c r="AU1595" i="1"/>
  <c r="AT1595" i="1"/>
  <c r="Y1594" i="1"/>
  <c r="X1594" i="1"/>
  <c r="AX1594" i="1"/>
  <c r="AW1594" i="1"/>
  <c r="AV1594" i="1"/>
  <c r="AU1594" i="1"/>
  <c r="AT1594" i="1"/>
  <c r="Y1593" i="1"/>
  <c r="X1593" i="1"/>
  <c r="AX1593" i="1"/>
  <c r="AW1593" i="1"/>
  <c r="AV1593" i="1"/>
  <c r="AU1593" i="1"/>
  <c r="AT1593" i="1"/>
  <c r="Y1592" i="1"/>
  <c r="X1592" i="1"/>
  <c r="AX1592" i="1"/>
  <c r="AW1592" i="1"/>
  <c r="AV1592" i="1"/>
  <c r="AU1592" i="1"/>
  <c r="AT1592" i="1"/>
  <c r="Y1591" i="1"/>
  <c r="X1591" i="1"/>
  <c r="AX1591" i="1"/>
  <c r="AW1591" i="1"/>
  <c r="AV1591" i="1"/>
  <c r="AU1591" i="1"/>
  <c r="AT1591" i="1"/>
  <c r="Y1590" i="1"/>
  <c r="X1590" i="1"/>
  <c r="AX1590" i="1"/>
  <c r="AW1590" i="1"/>
  <c r="AV1590" i="1"/>
  <c r="AU1590" i="1"/>
  <c r="AT1590" i="1"/>
  <c r="Y1589" i="1"/>
  <c r="X1589" i="1"/>
  <c r="AX1589" i="1"/>
  <c r="AW1589" i="1"/>
  <c r="AV1589" i="1"/>
  <c r="AU1589" i="1"/>
  <c r="AT1589" i="1"/>
  <c r="Y1588" i="1"/>
  <c r="X1588" i="1"/>
  <c r="AX1588" i="1"/>
  <c r="AW1588" i="1"/>
  <c r="AV1588" i="1"/>
  <c r="AU1588" i="1"/>
  <c r="AT1588" i="1"/>
  <c r="Y1587" i="1"/>
  <c r="X1587" i="1"/>
  <c r="AX1587" i="1"/>
  <c r="AW1587" i="1"/>
  <c r="AV1587" i="1"/>
  <c r="AU1587" i="1"/>
  <c r="AT1587" i="1"/>
  <c r="Y1586" i="1"/>
  <c r="X1586" i="1"/>
  <c r="AX1586" i="1"/>
  <c r="AW1586" i="1"/>
  <c r="AV1586" i="1"/>
  <c r="AU1586" i="1"/>
  <c r="AT1586" i="1"/>
  <c r="Y1585" i="1"/>
  <c r="X1585" i="1"/>
  <c r="AX1585" i="1"/>
  <c r="AW1585" i="1"/>
  <c r="AV1585" i="1"/>
  <c r="AU1585" i="1"/>
  <c r="AT1585" i="1"/>
  <c r="Y1584" i="1"/>
  <c r="X1584" i="1"/>
  <c r="AX1584" i="1"/>
  <c r="AW1584" i="1"/>
  <c r="AV1584" i="1"/>
  <c r="AU1584" i="1"/>
  <c r="AT1584" i="1"/>
  <c r="Y1583" i="1"/>
  <c r="X1583" i="1"/>
  <c r="AX1583" i="1"/>
  <c r="AW1583" i="1"/>
  <c r="AV1583" i="1"/>
  <c r="AU1583" i="1"/>
  <c r="AT1583" i="1"/>
  <c r="Y1582" i="1"/>
  <c r="X1582" i="1"/>
  <c r="AX1582" i="1"/>
  <c r="AW1582" i="1"/>
  <c r="AV1582" i="1"/>
  <c r="AU1582" i="1"/>
  <c r="AT1582" i="1"/>
  <c r="Y1581" i="1"/>
  <c r="X1581" i="1"/>
  <c r="AX1581" i="1"/>
  <c r="AW1581" i="1"/>
  <c r="AV1581" i="1"/>
  <c r="AU1581" i="1"/>
  <c r="AT1581" i="1"/>
  <c r="Y1580" i="1"/>
  <c r="X1580" i="1"/>
  <c r="AX1580" i="1"/>
  <c r="AW1580" i="1"/>
  <c r="AV1580" i="1"/>
  <c r="AU1580" i="1"/>
  <c r="AT1580" i="1"/>
  <c r="Y1579" i="1"/>
  <c r="X1579" i="1"/>
  <c r="AX1579" i="1"/>
  <c r="AW1579" i="1"/>
  <c r="AV1579" i="1"/>
  <c r="AU1579" i="1"/>
  <c r="AT1579" i="1"/>
  <c r="Y1578" i="1"/>
  <c r="X1578" i="1"/>
  <c r="AX1578" i="1"/>
  <c r="AW1578" i="1"/>
  <c r="AV1578" i="1"/>
  <c r="AU1578" i="1"/>
  <c r="AT1578" i="1"/>
  <c r="Y1577" i="1"/>
  <c r="X1577" i="1"/>
  <c r="AX1577" i="1"/>
  <c r="AW1577" i="1"/>
  <c r="AV1577" i="1"/>
  <c r="AU1577" i="1"/>
  <c r="AT1577" i="1"/>
  <c r="Y1576" i="1"/>
  <c r="X1576" i="1"/>
  <c r="AX1576" i="1"/>
  <c r="AW1576" i="1"/>
  <c r="AV1576" i="1"/>
  <c r="AU1576" i="1"/>
  <c r="AT1576" i="1"/>
  <c r="Y1575" i="1"/>
  <c r="X1575" i="1"/>
  <c r="AX1575" i="1"/>
  <c r="AW1575" i="1"/>
  <c r="AV1575" i="1"/>
  <c r="AU1575" i="1"/>
  <c r="AT1575" i="1"/>
  <c r="Y1574" i="1"/>
  <c r="X1574" i="1"/>
  <c r="AX1574" i="1"/>
  <c r="AW1574" i="1"/>
  <c r="AV1574" i="1"/>
  <c r="AU1574" i="1"/>
  <c r="AT1574" i="1"/>
  <c r="Y1573" i="1"/>
  <c r="X1573" i="1"/>
  <c r="AX1573" i="1"/>
  <c r="AW1573" i="1"/>
  <c r="AV1573" i="1"/>
  <c r="AU1573" i="1"/>
  <c r="AT1573" i="1"/>
  <c r="Y1571" i="1"/>
  <c r="X1571" i="1"/>
  <c r="AX1571" i="1"/>
  <c r="AW1571" i="1"/>
  <c r="AV1571" i="1"/>
  <c r="AU1571" i="1"/>
  <c r="AT1571" i="1"/>
  <c r="Y1570" i="1"/>
  <c r="X1570" i="1"/>
  <c r="AX1570" i="1"/>
  <c r="AW1570" i="1"/>
  <c r="AV1570" i="1"/>
  <c r="AU1570" i="1"/>
  <c r="AT1570" i="1"/>
  <c r="Y1569" i="1"/>
  <c r="X1569" i="1"/>
  <c r="AX1569" i="1"/>
  <c r="AW1569" i="1"/>
  <c r="AV1569" i="1"/>
  <c r="AU1569" i="1"/>
  <c r="AT1569" i="1"/>
  <c r="Y1568" i="1"/>
  <c r="X1568" i="1"/>
  <c r="AX1568" i="1"/>
  <c r="AW1568" i="1"/>
  <c r="AV1568" i="1"/>
  <c r="AU1568" i="1"/>
  <c r="AT1568" i="1"/>
  <c r="Y1567" i="1"/>
  <c r="X1567" i="1"/>
  <c r="AX1567" i="1"/>
  <c r="AW1567" i="1"/>
  <c r="AV1567" i="1"/>
  <c r="AU1567" i="1"/>
  <c r="AT1567" i="1"/>
  <c r="Y1566" i="1"/>
  <c r="X1566" i="1"/>
  <c r="AX1566" i="1"/>
  <c r="AW1566" i="1"/>
  <c r="AV1566" i="1"/>
  <c r="AU1566" i="1"/>
  <c r="AT1566" i="1"/>
  <c r="Y1565" i="1"/>
  <c r="X1565" i="1"/>
  <c r="AX1565" i="1"/>
  <c r="AW1565" i="1"/>
  <c r="AV1565" i="1"/>
  <c r="AU1565" i="1"/>
  <c r="AT1565" i="1"/>
  <c r="Y1564" i="1"/>
  <c r="X1564" i="1"/>
  <c r="AX1564" i="1"/>
  <c r="AW1564" i="1"/>
  <c r="AV1564" i="1"/>
  <c r="AU1564" i="1"/>
  <c r="AT1564" i="1"/>
  <c r="Y1563" i="1"/>
  <c r="X1563" i="1"/>
  <c r="AX1563" i="1"/>
  <c r="AW1563" i="1"/>
  <c r="AV1563" i="1"/>
  <c r="AU1563" i="1"/>
  <c r="AT1563" i="1"/>
  <c r="Y1562" i="1"/>
  <c r="X1562" i="1"/>
  <c r="AX1562" i="1"/>
  <c r="AW1562" i="1"/>
  <c r="AV1562" i="1"/>
  <c r="AU1562" i="1"/>
  <c r="AT1562" i="1"/>
  <c r="Y1561" i="1"/>
  <c r="X1561" i="1"/>
  <c r="AX1561" i="1"/>
  <c r="AW1561" i="1"/>
  <c r="AV1561" i="1"/>
  <c r="AU1561" i="1"/>
  <c r="AT1561" i="1"/>
  <c r="Y1559" i="1"/>
  <c r="X1559" i="1"/>
  <c r="AX1559" i="1"/>
  <c r="AW1559" i="1"/>
  <c r="AV1559" i="1"/>
  <c r="AU1559" i="1"/>
  <c r="AT1559" i="1"/>
  <c r="Y1558" i="1"/>
  <c r="X1558" i="1"/>
  <c r="AX1558" i="1"/>
  <c r="AW1558" i="1"/>
  <c r="AV1558" i="1"/>
  <c r="AU1558" i="1"/>
  <c r="AT1558" i="1"/>
  <c r="Y1557" i="1"/>
  <c r="X1557" i="1"/>
  <c r="AX1557" i="1"/>
  <c r="AW1557" i="1"/>
  <c r="AV1557" i="1"/>
  <c r="AU1557" i="1"/>
  <c r="AT1557" i="1"/>
  <c r="Y1556" i="1"/>
  <c r="X1556" i="1"/>
  <c r="AX1556" i="1"/>
  <c r="AW1556" i="1"/>
  <c r="AV1556" i="1"/>
  <c r="AU1556" i="1"/>
  <c r="AT1556" i="1"/>
  <c r="Y1555" i="1"/>
  <c r="X1555" i="1"/>
  <c r="AX1555" i="1"/>
  <c r="AW1555" i="1"/>
  <c r="AV1555" i="1"/>
  <c r="AU1555" i="1"/>
  <c r="AT1555" i="1"/>
  <c r="Y1554" i="1"/>
  <c r="X1554" i="1"/>
  <c r="AX1554" i="1"/>
  <c r="AW1554" i="1"/>
  <c r="AV1554" i="1"/>
  <c r="AU1554" i="1"/>
  <c r="AT1554" i="1"/>
  <c r="Y1553" i="1"/>
  <c r="X1553" i="1"/>
  <c r="AX1553" i="1"/>
  <c r="AW1553" i="1"/>
  <c r="AV1553" i="1"/>
  <c r="AU1553" i="1"/>
  <c r="AT1553" i="1"/>
  <c r="Y1552" i="1"/>
  <c r="X1552" i="1"/>
  <c r="AX1552" i="1"/>
  <c r="AW1552" i="1"/>
  <c r="AV1552" i="1"/>
  <c r="AU1552" i="1"/>
  <c r="AT1552" i="1"/>
  <c r="Y1551" i="1"/>
  <c r="X1551" i="1"/>
  <c r="AX1551" i="1"/>
  <c r="AW1551" i="1"/>
  <c r="AV1551" i="1"/>
  <c r="AU1551" i="1"/>
  <c r="AT1551" i="1"/>
  <c r="Y1550" i="1"/>
  <c r="X1550" i="1"/>
  <c r="AX1550" i="1"/>
  <c r="AW1550" i="1"/>
  <c r="AV1550" i="1"/>
  <c r="AU1550" i="1"/>
  <c r="AT1550" i="1"/>
  <c r="Y1549" i="1"/>
  <c r="X1549" i="1"/>
  <c r="AX1549" i="1"/>
  <c r="AW1549" i="1"/>
  <c r="AV1549" i="1"/>
  <c r="AU1549" i="1"/>
  <c r="AT1549" i="1"/>
  <c r="A9" i="1"/>
  <c r="Y1546" i="1"/>
  <c r="X1546" i="1"/>
  <c r="AX1546" i="1"/>
  <c r="AW1546" i="1"/>
  <c r="AV1546" i="1"/>
  <c r="AU1546" i="1"/>
  <c r="AT1546" i="1"/>
  <c r="Y1545" i="1"/>
  <c r="X1545" i="1"/>
  <c r="AX1545" i="1"/>
  <c r="AW1545" i="1"/>
  <c r="AV1545" i="1"/>
  <c r="AU1545" i="1"/>
  <c r="AT1545" i="1"/>
  <c r="Y1544" i="1"/>
  <c r="X1544" i="1"/>
  <c r="AX1544" i="1"/>
  <c r="AW1544" i="1"/>
  <c r="AV1544" i="1"/>
  <c r="AU1544" i="1"/>
  <c r="AT1544" i="1"/>
  <c r="Y1543" i="1"/>
  <c r="X1543" i="1"/>
  <c r="AX1543" i="1"/>
  <c r="AW1543" i="1"/>
  <c r="AV1543" i="1"/>
  <c r="AU1543" i="1"/>
  <c r="AT1543" i="1"/>
  <c r="Y1542" i="1"/>
  <c r="X1542" i="1"/>
  <c r="AX1542" i="1"/>
  <c r="AW1542" i="1"/>
  <c r="AV1542" i="1"/>
  <c r="AU1542" i="1"/>
  <c r="AT1542" i="1"/>
  <c r="Y1541" i="1"/>
  <c r="X1541" i="1"/>
  <c r="AX1541" i="1"/>
  <c r="AW1541" i="1"/>
  <c r="AV1541" i="1"/>
  <c r="AU1541" i="1"/>
  <c r="AT1541" i="1"/>
  <c r="Y1539" i="1"/>
  <c r="X1539" i="1"/>
  <c r="AX1539" i="1"/>
  <c r="AW1539" i="1"/>
  <c r="AV1539" i="1"/>
  <c r="AU1539" i="1"/>
  <c r="AT1539" i="1"/>
  <c r="Y1538" i="1"/>
  <c r="X1538" i="1"/>
  <c r="AX1538" i="1"/>
  <c r="AW1538" i="1"/>
  <c r="AV1538" i="1"/>
  <c r="AU1538" i="1"/>
  <c r="AT1538" i="1"/>
  <c r="Y1537" i="1"/>
  <c r="X1537" i="1"/>
  <c r="AX1537" i="1"/>
  <c r="AW1537" i="1"/>
  <c r="AV1537" i="1"/>
  <c r="AU1537" i="1"/>
  <c r="AT1537" i="1"/>
  <c r="Y1536" i="1"/>
  <c r="X1536" i="1"/>
  <c r="AX1536" i="1"/>
  <c r="AW1536" i="1"/>
  <c r="AV1536" i="1"/>
  <c r="AU1536" i="1"/>
  <c r="AT1536" i="1"/>
  <c r="Y1535" i="1"/>
  <c r="X1535" i="1"/>
  <c r="AX1535" i="1"/>
  <c r="AW1535" i="1"/>
  <c r="AV1535" i="1"/>
  <c r="AU1535" i="1"/>
  <c r="AT1535" i="1"/>
  <c r="Y1534" i="1"/>
  <c r="X1534" i="1"/>
  <c r="AX1534" i="1"/>
  <c r="AW1534" i="1"/>
  <c r="AV1534" i="1"/>
  <c r="AU1534" i="1"/>
  <c r="AT1534" i="1"/>
  <c r="Y1533" i="1"/>
  <c r="X1533" i="1"/>
  <c r="AX1533" i="1"/>
  <c r="AW1533" i="1"/>
  <c r="AV1533" i="1"/>
  <c r="AU1533" i="1"/>
  <c r="AT1533" i="1"/>
  <c r="Y1532" i="1"/>
  <c r="X1532" i="1"/>
  <c r="AX1532" i="1"/>
  <c r="AW1532" i="1"/>
  <c r="AV1532" i="1"/>
  <c r="AU1532" i="1"/>
  <c r="AT1532" i="1"/>
  <c r="Y1531" i="1"/>
  <c r="X1531" i="1"/>
  <c r="AX1531" i="1"/>
  <c r="AW1531" i="1"/>
  <c r="AV1531" i="1"/>
  <c r="AU1531" i="1"/>
  <c r="AT1531" i="1"/>
  <c r="Y1530" i="1"/>
  <c r="X1530" i="1"/>
  <c r="AX1530" i="1"/>
  <c r="AW1530" i="1"/>
  <c r="AV1530" i="1"/>
  <c r="AU1530" i="1"/>
  <c r="AT1530" i="1"/>
  <c r="Y1529" i="1"/>
  <c r="X1529" i="1"/>
  <c r="AX1529" i="1"/>
  <c r="AW1529" i="1"/>
  <c r="AV1529" i="1"/>
  <c r="AU1529" i="1"/>
  <c r="AT1529" i="1"/>
  <c r="Y1528" i="1"/>
  <c r="X1528" i="1"/>
  <c r="AX1528" i="1"/>
  <c r="AW1528" i="1"/>
  <c r="AV1528" i="1"/>
  <c r="AU1528" i="1"/>
  <c r="AT1528" i="1"/>
  <c r="Y1527" i="1"/>
  <c r="X1527" i="1"/>
  <c r="AX1527" i="1"/>
  <c r="AW1527" i="1"/>
  <c r="AV1527" i="1"/>
  <c r="AU1527" i="1"/>
  <c r="AT1527" i="1"/>
  <c r="Y1526" i="1"/>
  <c r="X1526" i="1"/>
  <c r="AX1526" i="1"/>
  <c r="AW1526" i="1"/>
  <c r="AV1526" i="1"/>
  <c r="AU1526" i="1"/>
  <c r="AT1526" i="1"/>
  <c r="Y1525" i="1"/>
  <c r="X1525" i="1"/>
  <c r="AX1525" i="1"/>
  <c r="AW1525" i="1"/>
  <c r="AV1525" i="1"/>
  <c r="AU1525" i="1"/>
  <c r="AT1525" i="1"/>
  <c r="Y1524" i="1"/>
  <c r="X1524" i="1"/>
  <c r="AX1524" i="1"/>
  <c r="AW1524" i="1"/>
  <c r="AV1524" i="1"/>
  <c r="AU1524" i="1"/>
  <c r="AT1524" i="1"/>
  <c r="Y1523" i="1"/>
  <c r="X1523" i="1"/>
  <c r="AX1523" i="1"/>
  <c r="AW1523" i="1"/>
  <c r="AV1523" i="1"/>
  <c r="AU1523" i="1"/>
  <c r="AT1523" i="1"/>
  <c r="Y1522" i="1"/>
  <c r="X1522" i="1"/>
  <c r="AX1522" i="1"/>
  <c r="AW1522" i="1"/>
  <c r="AV1522" i="1"/>
  <c r="AU1522" i="1"/>
  <c r="AT1522" i="1"/>
  <c r="Y1521" i="1"/>
  <c r="X1521" i="1"/>
  <c r="AX1521" i="1"/>
  <c r="AW1521" i="1"/>
  <c r="AV1521" i="1"/>
  <c r="AU1521" i="1"/>
  <c r="AT1521" i="1"/>
  <c r="Y1520" i="1"/>
  <c r="X1520" i="1"/>
  <c r="AX1520" i="1"/>
  <c r="AW1520" i="1"/>
  <c r="AV1520" i="1"/>
  <c r="AU1520" i="1"/>
  <c r="AT1520" i="1"/>
  <c r="Y1519" i="1"/>
  <c r="X1519" i="1"/>
  <c r="AX1519" i="1"/>
  <c r="AW1519" i="1"/>
  <c r="AV1519" i="1"/>
  <c r="AU1519" i="1"/>
  <c r="AT1519" i="1"/>
  <c r="Y1518" i="1"/>
  <c r="X1518" i="1"/>
  <c r="AX1518" i="1"/>
  <c r="AW1518" i="1"/>
  <c r="AV1518" i="1"/>
  <c r="AU1518" i="1"/>
  <c r="AT1518" i="1"/>
  <c r="Y1517" i="1"/>
  <c r="X1517" i="1"/>
  <c r="AX1517" i="1"/>
  <c r="AW1517" i="1"/>
  <c r="AV1517" i="1"/>
  <c r="AU1517" i="1"/>
  <c r="AT1517" i="1"/>
  <c r="Y1516" i="1"/>
  <c r="X1516" i="1"/>
  <c r="AX1516" i="1"/>
  <c r="AW1516" i="1"/>
  <c r="AV1516" i="1"/>
  <c r="AU1516" i="1"/>
  <c r="AT1516" i="1"/>
  <c r="Y1515" i="1"/>
  <c r="X1515" i="1"/>
  <c r="AX1515" i="1"/>
  <c r="AW1515" i="1"/>
  <c r="AV1515" i="1"/>
  <c r="AU1515" i="1"/>
  <c r="AT1515" i="1"/>
  <c r="Y1514" i="1"/>
  <c r="X1514" i="1"/>
  <c r="AX1514" i="1"/>
  <c r="AW1514" i="1"/>
  <c r="AV1514" i="1"/>
  <c r="AU1514" i="1"/>
  <c r="AT1514" i="1"/>
  <c r="Y1513" i="1"/>
  <c r="X1513" i="1"/>
  <c r="AX1513" i="1"/>
  <c r="AW1513" i="1"/>
  <c r="AV1513" i="1"/>
  <c r="AU1513" i="1"/>
  <c r="AT1513" i="1"/>
  <c r="Y1512" i="1"/>
  <c r="X1512" i="1"/>
  <c r="AX1512" i="1"/>
  <c r="AW1512" i="1"/>
  <c r="AV1512" i="1"/>
  <c r="AU1512" i="1"/>
  <c r="AT1512" i="1"/>
  <c r="Y1511" i="1"/>
  <c r="X1511" i="1"/>
  <c r="AX1511" i="1"/>
  <c r="AW1511" i="1"/>
  <c r="AV1511" i="1"/>
  <c r="AU1511" i="1"/>
  <c r="AT1511" i="1"/>
  <c r="Y1509" i="1"/>
  <c r="X1509" i="1"/>
  <c r="AX1509" i="1"/>
  <c r="AW1509" i="1"/>
  <c r="AV1509" i="1"/>
  <c r="AU1509" i="1"/>
  <c r="AT1509" i="1"/>
  <c r="Y1508" i="1"/>
  <c r="X1508" i="1"/>
  <c r="AX1508" i="1"/>
  <c r="AW1508" i="1"/>
  <c r="AV1508" i="1"/>
  <c r="AU1508" i="1"/>
  <c r="AT1508" i="1"/>
  <c r="Y1507" i="1"/>
  <c r="X1507" i="1"/>
  <c r="AX1507" i="1"/>
  <c r="AW1507" i="1"/>
  <c r="AV1507" i="1"/>
  <c r="AU1507" i="1"/>
  <c r="AT1507" i="1"/>
  <c r="Y1506" i="1"/>
  <c r="X1506" i="1"/>
  <c r="AX1506" i="1"/>
  <c r="AW1506" i="1"/>
  <c r="AV1506" i="1"/>
  <c r="AU1506" i="1"/>
  <c r="AT1506" i="1"/>
  <c r="Y1505" i="1"/>
  <c r="X1505" i="1"/>
  <c r="AX1505" i="1"/>
  <c r="AW1505" i="1"/>
  <c r="AV1505" i="1"/>
  <c r="AU1505" i="1"/>
  <c r="AT1505" i="1"/>
  <c r="Y1504" i="1"/>
  <c r="X1504" i="1"/>
  <c r="AX1504" i="1"/>
  <c r="AW1504" i="1"/>
  <c r="AV1504" i="1"/>
  <c r="AU1504" i="1"/>
  <c r="AT1504" i="1"/>
  <c r="Y1503" i="1"/>
  <c r="X1503" i="1"/>
  <c r="AX1503" i="1"/>
  <c r="AW1503" i="1"/>
  <c r="AV1503" i="1"/>
  <c r="AU1503" i="1"/>
  <c r="AT1503" i="1"/>
  <c r="Y1502" i="1"/>
  <c r="X1502" i="1"/>
  <c r="AX1502" i="1"/>
  <c r="AW1502" i="1"/>
  <c r="AV1502" i="1"/>
  <c r="AU1502" i="1"/>
  <c r="AT1502" i="1"/>
  <c r="Y1501" i="1"/>
  <c r="X1501" i="1"/>
  <c r="AX1501" i="1"/>
  <c r="AW1501" i="1"/>
  <c r="AV1501" i="1"/>
  <c r="AU1501" i="1"/>
  <c r="AT1501" i="1"/>
  <c r="Y1500" i="1"/>
  <c r="X1500" i="1"/>
  <c r="AX1500" i="1"/>
  <c r="AW1500" i="1"/>
  <c r="AV1500" i="1"/>
  <c r="AU1500" i="1"/>
  <c r="AT1500" i="1"/>
  <c r="Y1499" i="1"/>
  <c r="X1499" i="1"/>
  <c r="AX1499" i="1"/>
  <c r="AW1499" i="1"/>
  <c r="AV1499" i="1"/>
  <c r="AU1499" i="1"/>
  <c r="AT1499" i="1"/>
  <c r="Y1498" i="1"/>
  <c r="X1498" i="1"/>
  <c r="AX1498" i="1"/>
  <c r="AW1498" i="1"/>
  <c r="AV1498" i="1"/>
  <c r="AU1498" i="1"/>
  <c r="AT1498" i="1"/>
  <c r="Y1497" i="1"/>
  <c r="X1497" i="1"/>
  <c r="AX1497" i="1"/>
  <c r="AW1497" i="1"/>
  <c r="AV1497" i="1"/>
  <c r="AU1497" i="1"/>
  <c r="AT1497" i="1"/>
  <c r="Y1496" i="1"/>
  <c r="X1496" i="1"/>
  <c r="AX1496" i="1"/>
  <c r="AW1496" i="1"/>
  <c r="AV1496" i="1"/>
  <c r="AU1496" i="1"/>
  <c r="AT1496" i="1"/>
  <c r="Y1495" i="1"/>
  <c r="X1495" i="1"/>
  <c r="AX1495" i="1"/>
  <c r="AW1495" i="1"/>
  <c r="AV1495" i="1"/>
  <c r="AU1495" i="1"/>
  <c r="AT1495" i="1"/>
  <c r="Y1493" i="1"/>
  <c r="X1493" i="1"/>
  <c r="AX1493" i="1"/>
  <c r="AW1493" i="1"/>
  <c r="AV1493" i="1"/>
  <c r="AU1493" i="1"/>
  <c r="AT1493" i="1"/>
  <c r="Y1492" i="1"/>
  <c r="X1492" i="1"/>
  <c r="AX1492" i="1"/>
  <c r="AW1492" i="1"/>
  <c r="AV1492" i="1"/>
  <c r="AU1492" i="1"/>
  <c r="AT1492" i="1"/>
  <c r="Y1491" i="1"/>
  <c r="X1491" i="1"/>
  <c r="AX1491" i="1"/>
  <c r="AW1491" i="1"/>
  <c r="AV1491" i="1"/>
  <c r="AU1491" i="1"/>
  <c r="AT1491" i="1"/>
  <c r="Y1490" i="1"/>
  <c r="X1490" i="1"/>
  <c r="AX1490" i="1"/>
  <c r="AW1490" i="1"/>
  <c r="AV1490" i="1"/>
  <c r="AU1490" i="1"/>
  <c r="AT1490" i="1"/>
  <c r="Y1489" i="1"/>
  <c r="X1489" i="1"/>
  <c r="AX1489" i="1"/>
  <c r="AW1489" i="1"/>
  <c r="AV1489" i="1"/>
  <c r="AU1489" i="1"/>
  <c r="AT1489" i="1"/>
  <c r="Y1488" i="1"/>
  <c r="X1488" i="1"/>
  <c r="AX1488" i="1"/>
  <c r="AW1488" i="1"/>
  <c r="AV1488" i="1"/>
  <c r="AU1488" i="1"/>
  <c r="AT1488" i="1"/>
  <c r="Y1487" i="1"/>
  <c r="X1487" i="1"/>
  <c r="AX1487" i="1"/>
  <c r="AW1487" i="1"/>
  <c r="AV1487" i="1"/>
  <c r="AU1487" i="1"/>
  <c r="AT1487" i="1"/>
  <c r="Y1486" i="1"/>
  <c r="X1486" i="1"/>
  <c r="AX1486" i="1"/>
  <c r="AW1486" i="1"/>
  <c r="AV1486" i="1"/>
  <c r="AU1486" i="1"/>
  <c r="AT1486" i="1"/>
  <c r="Y1485" i="1"/>
  <c r="X1485" i="1"/>
  <c r="AX1485" i="1"/>
  <c r="AW1485" i="1"/>
  <c r="AV1485" i="1"/>
  <c r="AU1485" i="1"/>
  <c r="AT1485" i="1"/>
  <c r="Y1484" i="1"/>
  <c r="X1484" i="1"/>
  <c r="AX1484" i="1"/>
  <c r="AW1484" i="1"/>
  <c r="AV1484" i="1"/>
  <c r="AU1484" i="1"/>
  <c r="AT1484" i="1"/>
  <c r="Y1483" i="1"/>
  <c r="X1483" i="1"/>
  <c r="AX1483" i="1"/>
  <c r="AW1483" i="1"/>
  <c r="AV1483" i="1"/>
  <c r="AU1483" i="1"/>
  <c r="AT1483" i="1"/>
  <c r="Y1482" i="1"/>
  <c r="X1482" i="1"/>
  <c r="AX1482" i="1"/>
  <c r="AW1482" i="1"/>
  <c r="AV1482" i="1"/>
  <c r="AU1482" i="1"/>
  <c r="AT1482" i="1"/>
  <c r="Y1481" i="1"/>
  <c r="X1481" i="1"/>
  <c r="AX1481" i="1"/>
  <c r="AW1481" i="1"/>
  <c r="AV1481" i="1"/>
  <c r="AU1481" i="1"/>
  <c r="AT1481" i="1"/>
  <c r="Y1480" i="1"/>
  <c r="X1480" i="1"/>
  <c r="AX1480" i="1"/>
  <c r="AW1480" i="1"/>
  <c r="AV1480" i="1"/>
  <c r="AU1480" i="1"/>
  <c r="AT1480" i="1"/>
  <c r="Y1479" i="1"/>
  <c r="X1479" i="1"/>
  <c r="AX1479" i="1"/>
  <c r="AW1479" i="1"/>
  <c r="AV1479" i="1"/>
  <c r="AU1479" i="1"/>
  <c r="AT1479" i="1"/>
  <c r="Y1478" i="1"/>
  <c r="X1478" i="1"/>
  <c r="AX1478" i="1"/>
  <c r="AW1478" i="1"/>
  <c r="AV1478" i="1"/>
  <c r="AU1478" i="1"/>
  <c r="AT1478" i="1"/>
  <c r="Y1477" i="1"/>
  <c r="X1477" i="1"/>
  <c r="AX1477" i="1"/>
  <c r="AW1477" i="1"/>
  <c r="AV1477" i="1"/>
  <c r="AU1477" i="1"/>
  <c r="AT1477" i="1"/>
  <c r="Y1476" i="1"/>
  <c r="X1476" i="1"/>
  <c r="AX1476" i="1"/>
  <c r="AW1476" i="1"/>
  <c r="AV1476" i="1"/>
  <c r="AU1476" i="1"/>
  <c r="AT1476" i="1"/>
  <c r="Y1475" i="1"/>
  <c r="X1475" i="1"/>
  <c r="AX1475" i="1"/>
  <c r="AW1475" i="1"/>
  <c r="AV1475" i="1"/>
  <c r="AU1475" i="1"/>
  <c r="AT1475" i="1"/>
  <c r="Y1474" i="1"/>
  <c r="X1474" i="1"/>
  <c r="AX1474" i="1"/>
  <c r="AW1474" i="1"/>
  <c r="AV1474" i="1"/>
  <c r="AU1474" i="1"/>
  <c r="AT1474" i="1"/>
  <c r="Y1473" i="1"/>
  <c r="X1473" i="1"/>
  <c r="AX1473" i="1"/>
  <c r="AW1473" i="1"/>
  <c r="AV1473" i="1"/>
  <c r="AU1473" i="1"/>
  <c r="AT1473" i="1"/>
  <c r="Y1472" i="1"/>
  <c r="X1472" i="1"/>
  <c r="AX1472" i="1"/>
  <c r="AW1472" i="1"/>
  <c r="AV1472" i="1"/>
  <c r="AU1472" i="1"/>
  <c r="AT1472" i="1"/>
  <c r="Y1471" i="1"/>
  <c r="X1471" i="1"/>
  <c r="AX1471" i="1"/>
  <c r="AW1471" i="1"/>
  <c r="AV1471" i="1"/>
  <c r="AU1471" i="1"/>
  <c r="AT1471" i="1"/>
  <c r="Y1470" i="1"/>
  <c r="X1470" i="1"/>
  <c r="AX1470" i="1"/>
  <c r="AW1470" i="1"/>
  <c r="AV1470" i="1"/>
  <c r="AU1470" i="1"/>
  <c r="AT1470" i="1"/>
  <c r="Y1469" i="1"/>
  <c r="X1469" i="1"/>
  <c r="AX1469" i="1"/>
  <c r="AW1469" i="1"/>
  <c r="AV1469" i="1"/>
  <c r="AU1469" i="1"/>
  <c r="AT1469" i="1"/>
  <c r="Y1468" i="1"/>
  <c r="X1468" i="1"/>
  <c r="AX1468" i="1"/>
  <c r="AW1468" i="1"/>
  <c r="AV1468" i="1"/>
  <c r="AU1468" i="1"/>
  <c r="AT1468" i="1"/>
  <c r="Y1467" i="1"/>
  <c r="X1467" i="1"/>
  <c r="AX1467" i="1"/>
  <c r="AW1467" i="1"/>
  <c r="AV1467" i="1"/>
  <c r="AU1467" i="1"/>
  <c r="AT1467" i="1"/>
  <c r="Y1466" i="1"/>
  <c r="X1466" i="1"/>
  <c r="AX1466" i="1"/>
  <c r="AW1466" i="1"/>
  <c r="AV1466" i="1"/>
  <c r="AU1466" i="1"/>
  <c r="AT1466" i="1"/>
  <c r="Y1465" i="1"/>
  <c r="X1465" i="1"/>
  <c r="AX1465" i="1"/>
  <c r="AW1465" i="1"/>
  <c r="AV1465" i="1"/>
  <c r="AU1465" i="1"/>
  <c r="AT1465" i="1"/>
  <c r="Y1464" i="1"/>
  <c r="X1464" i="1"/>
  <c r="AX1464" i="1"/>
  <c r="AW1464" i="1"/>
  <c r="AV1464" i="1"/>
  <c r="AU1464" i="1"/>
  <c r="AT1464" i="1"/>
  <c r="Y1463" i="1"/>
  <c r="X1463" i="1"/>
  <c r="AX1463" i="1"/>
  <c r="AW1463" i="1"/>
  <c r="AV1463" i="1"/>
  <c r="AU1463" i="1"/>
  <c r="AT1463" i="1"/>
  <c r="Y1462" i="1"/>
  <c r="X1462" i="1"/>
  <c r="AX1462" i="1"/>
  <c r="AW1462" i="1"/>
  <c r="AV1462" i="1"/>
  <c r="AU1462" i="1"/>
  <c r="AT1462" i="1"/>
  <c r="Y1460" i="1"/>
  <c r="X1460" i="1"/>
  <c r="AX1460" i="1"/>
  <c r="AW1460" i="1"/>
  <c r="AV1460" i="1"/>
  <c r="AU1460" i="1"/>
  <c r="AT1460" i="1"/>
  <c r="Y1459" i="1"/>
  <c r="X1459" i="1"/>
  <c r="AX1459" i="1"/>
  <c r="AW1459" i="1"/>
  <c r="AV1459" i="1"/>
  <c r="AU1459" i="1"/>
  <c r="AT1459" i="1"/>
  <c r="Y1458" i="1"/>
  <c r="X1458" i="1"/>
  <c r="AX1458" i="1"/>
  <c r="AW1458" i="1"/>
  <c r="AV1458" i="1"/>
  <c r="AU1458" i="1"/>
  <c r="AT1458" i="1"/>
  <c r="Y1457" i="1"/>
  <c r="X1457" i="1"/>
  <c r="AX1457" i="1"/>
  <c r="AW1457" i="1"/>
  <c r="AV1457" i="1"/>
  <c r="AU1457" i="1"/>
  <c r="AT1457" i="1"/>
  <c r="Y1456" i="1"/>
  <c r="X1456" i="1"/>
  <c r="AX1456" i="1"/>
  <c r="AW1456" i="1"/>
  <c r="AV1456" i="1"/>
  <c r="AU1456" i="1"/>
  <c r="AT1456" i="1"/>
  <c r="Y1455" i="1"/>
  <c r="X1455" i="1"/>
  <c r="AX1455" i="1"/>
  <c r="AW1455" i="1"/>
  <c r="AV1455" i="1"/>
  <c r="AU1455" i="1"/>
  <c r="AT1455" i="1"/>
  <c r="Y1454" i="1"/>
  <c r="X1454" i="1"/>
  <c r="AX1454" i="1"/>
  <c r="AW1454" i="1"/>
  <c r="AV1454" i="1"/>
  <c r="AU1454" i="1"/>
  <c r="AT1454" i="1"/>
  <c r="Y1453" i="1"/>
  <c r="X1453" i="1"/>
  <c r="AX1453" i="1"/>
  <c r="AW1453" i="1"/>
  <c r="AV1453" i="1"/>
  <c r="AU1453" i="1"/>
  <c r="AT1453" i="1"/>
  <c r="Y1452" i="1"/>
  <c r="X1452" i="1"/>
  <c r="AX1452" i="1"/>
  <c r="AW1452" i="1"/>
  <c r="AV1452" i="1"/>
  <c r="AU1452" i="1"/>
  <c r="AT1452" i="1"/>
  <c r="Y1451" i="1"/>
  <c r="X1451" i="1"/>
  <c r="AX1451" i="1"/>
  <c r="AW1451" i="1"/>
  <c r="AV1451" i="1"/>
  <c r="AU1451" i="1"/>
  <c r="AT1451" i="1"/>
  <c r="Y1450" i="1"/>
  <c r="X1450" i="1"/>
  <c r="AX1450" i="1"/>
  <c r="AW1450" i="1"/>
  <c r="AV1450" i="1"/>
  <c r="AU1450" i="1"/>
  <c r="AT1450" i="1"/>
  <c r="Y1449" i="1"/>
  <c r="X1449" i="1"/>
  <c r="AX1449" i="1"/>
  <c r="AW1449" i="1"/>
  <c r="AV1449" i="1"/>
  <c r="AU1449" i="1"/>
  <c r="AT1449" i="1"/>
  <c r="Y1448" i="1"/>
  <c r="X1448" i="1"/>
  <c r="AX1448" i="1"/>
  <c r="AW1448" i="1"/>
  <c r="AV1448" i="1"/>
  <c r="AU1448" i="1"/>
  <c r="AT1448" i="1"/>
  <c r="Y1447" i="1"/>
  <c r="X1447" i="1"/>
  <c r="AX1447" i="1"/>
  <c r="AW1447" i="1"/>
  <c r="AV1447" i="1"/>
  <c r="AU1447" i="1"/>
  <c r="AT1447" i="1"/>
  <c r="Y1446" i="1"/>
  <c r="X1446" i="1"/>
  <c r="AX1446" i="1"/>
  <c r="AW1446" i="1"/>
  <c r="AV1446" i="1"/>
  <c r="AU1446" i="1"/>
  <c r="AT1446" i="1"/>
  <c r="Y1445" i="1"/>
  <c r="X1445" i="1"/>
  <c r="AX1445" i="1"/>
  <c r="AW1445" i="1"/>
  <c r="AV1445" i="1"/>
  <c r="AU1445" i="1"/>
  <c r="AT1445" i="1"/>
  <c r="Y1444" i="1"/>
  <c r="X1444" i="1"/>
  <c r="AX1444" i="1"/>
  <c r="AW1444" i="1"/>
  <c r="AV1444" i="1"/>
  <c r="AU1444" i="1"/>
  <c r="AT1444" i="1"/>
  <c r="Y1443" i="1"/>
  <c r="X1443" i="1"/>
  <c r="AX1443" i="1"/>
  <c r="AW1443" i="1"/>
  <c r="AV1443" i="1"/>
  <c r="AU1443" i="1"/>
  <c r="AT1443" i="1"/>
  <c r="Y1442" i="1"/>
  <c r="X1442" i="1"/>
  <c r="AX1442" i="1"/>
  <c r="AW1442" i="1"/>
  <c r="AV1442" i="1"/>
  <c r="AU1442" i="1"/>
  <c r="AT1442" i="1"/>
  <c r="Y1441" i="1"/>
  <c r="X1441" i="1"/>
  <c r="AX1441" i="1"/>
  <c r="AW1441" i="1"/>
  <c r="AV1441" i="1"/>
  <c r="AU1441" i="1"/>
  <c r="AT1441" i="1"/>
  <c r="Y1440" i="1"/>
  <c r="X1440" i="1"/>
  <c r="AX1440" i="1"/>
  <c r="AW1440" i="1"/>
  <c r="AV1440" i="1"/>
  <c r="AU1440" i="1"/>
  <c r="AT1440" i="1"/>
  <c r="Y1439" i="1"/>
  <c r="X1439" i="1"/>
  <c r="AX1439" i="1"/>
  <c r="AW1439" i="1"/>
  <c r="AV1439" i="1"/>
  <c r="AU1439" i="1"/>
  <c r="AT1439" i="1"/>
  <c r="Y1438" i="1"/>
  <c r="X1438" i="1"/>
  <c r="AX1438" i="1"/>
  <c r="AW1438" i="1"/>
  <c r="AV1438" i="1"/>
  <c r="AU1438" i="1"/>
  <c r="AT1438" i="1"/>
  <c r="Y1437" i="1"/>
  <c r="X1437" i="1"/>
  <c r="AX1437" i="1"/>
  <c r="AW1437" i="1"/>
  <c r="AV1437" i="1"/>
  <c r="AU1437" i="1"/>
  <c r="AT1437" i="1"/>
  <c r="Y1436" i="1"/>
  <c r="X1436" i="1"/>
  <c r="AX1436" i="1"/>
  <c r="AW1436" i="1"/>
  <c r="AV1436" i="1"/>
  <c r="AU1436" i="1"/>
  <c r="AT1436" i="1"/>
  <c r="Y1435" i="1"/>
  <c r="X1435" i="1"/>
  <c r="AX1435" i="1"/>
  <c r="AW1435" i="1"/>
  <c r="AV1435" i="1"/>
  <c r="AU1435" i="1"/>
  <c r="AT1435" i="1"/>
  <c r="Y1434" i="1"/>
  <c r="X1434" i="1"/>
  <c r="AX1434" i="1"/>
  <c r="AW1434" i="1"/>
  <c r="AV1434" i="1"/>
  <c r="AU1434" i="1"/>
  <c r="AT1434" i="1"/>
  <c r="Y1433" i="1"/>
  <c r="X1433" i="1"/>
  <c r="AX1433" i="1"/>
  <c r="AW1433" i="1"/>
  <c r="AV1433" i="1"/>
  <c r="AU1433" i="1"/>
  <c r="AT1433" i="1"/>
  <c r="Y1431" i="1"/>
  <c r="X1431" i="1"/>
  <c r="AX1431" i="1"/>
  <c r="AW1431" i="1"/>
  <c r="AV1431" i="1"/>
  <c r="AU1431" i="1"/>
  <c r="AT1431" i="1"/>
  <c r="Y1430" i="1"/>
  <c r="X1430" i="1"/>
  <c r="AX1430" i="1"/>
  <c r="AW1430" i="1"/>
  <c r="AV1430" i="1"/>
  <c r="AU1430" i="1"/>
  <c r="AT1430" i="1"/>
  <c r="Y1429" i="1"/>
  <c r="X1429" i="1"/>
  <c r="AX1429" i="1"/>
  <c r="AW1429" i="1"/>
  <c r="AV1429" i="1"/>
  <c r="AU1429" i="1"/>
  <c r="AT1429" i="1"/>
  <c r="Y1428" i="1"/>
  <c r="X1428" i="1"/>
  <c r="AX1428" i="1"/>
  <c r="AW1428" i="1"/>
  <c r="AV1428" i="1"/>
  <c r="AU1428" i="1"/>
  <c r="AT1428" i="1"/>
  <c r="Y1427" i="1"/>
  <c r="X1427" i="1"/>
  <c r="AX1427" i="1"/>
  <c r="AW1427" i="1"/>
  <c r="AV1427" i="1"/>
  <c r="AU1427" i="1"/>
  <c r="AT1427" i="1"/>
  <c r="Y1426" i="1"/>
  <c r="X1426" i="1"/>
  <c r="AX1426" i="1"/>
  <c r="AW1426" i="1"/>
  <c r="AV1426" i="1"/>
  <c r="AU1426" i="1"/>
  <c r="AT1426" i="1"/>
  <c r="Y1425" i="1"/>
  <c r="X1425" i="1"/>
  <c r="AX1425" i="1"/>
  <c r="AW1425" i="1"/>
  <c r="AV1425" i="1"/>
  <c r="AU1425" i="1"/>
  <c r="AT1425" i="1"/>
  <c r="Y1424" i="1"/>
  <c r="X1424" i="1"/>
  <c r="AX1424" i="1"/>
  <c r="AW1424" i="1"/>
  <c r="AV1424" i="1"/>
  <c r="AU1424" i="1"/>
  <c r="AT1424" i="1"/>
  <c r="Y1422" i="1"/>
  <c r="X1422" i="1"/>
  <c r="AX1422" i="1"/>
  <c r="AW1422" i="1"/>
  <c r="AV1422" i="1"/>
  <c r="AU1422" i="1"/>
  <c r="AT1422" i="1"/>
  <c r="Y1421" i="1"/>
  <c r="X1421" i="1"/>
  <c r="AX1421" i="1"/>
  <c r="AW1421" i="1"/>
  <c r="AV1421" i="1"/>
  <c r="AU1421" i="1"/>
  <c r="AT1421" i="1"/>
  <c r="Y1420" i="1"/>
  <c r="X1420" i="1"/>
  <c r="AX1420" i="1"/>
  <c r="AW1420" i="1"/>
  <c r="AV1420" i="1"/>
  <c r="AU1420" i="1"/>
  <c r="AT1420" i="1"/>
  <c r="Y1419" i="1"/>
  <c r="X1419" i="1"/>
  <c r="AX1419" i="1"/>
  <c r="AW1419" i="1"/>
  <c r="AV1419" i="1"/>
  <c r="AU1419" i="1"/>
  <c r="AT1419" i="1"/>
  <c r="Y1418" i="1"/>
  <c r="X1418" i="1"/>
  <c r="AX1418" i="1"/>
  <c r="AW1418" i="1"/>
  <c r="AV1418" i="1"/>
  <c r="AU1418" i="1"/>
  <c r="AT1418" i="1"/>
  <c r="Y1417" i="1"/>
  <c r="X1417" i="1"/>
  <c r="AX1417" i="1"/>
  <c r="AW1417" i="1"/>
  <c r="AV1417" i="1"/>
  <c r="AU1417" i="1"/>
  <c r="AT1417" i="1"/>
  <c r="Y1416" i="1"/>
  <c r="X1416" i="1"/>
  <c r="AX1416" i="1"/>
  <c r="AW1416" i="1"/>
  <c r="AV1416" i="1"/>
  <c r="AU1416" i="1"/>
  <c r="AT1416" i="1"/>
  <c r="Y1415" i="1"/>
  <c r="X1415" i="1"/>
  <c r="AX1415" i="1"/>
  <c r="AW1415" i="1"/>
  <c r="AV1415" i="1"/>
  <c r="AU1415" i="1"/>
  <c r="AT1415" i="1"/>
  <c r="Y1414" i="1"/>
  <c r="X1414" i="1"/>
  <c r="AX1414" i="1"/>
  <c r="AW1414" i="1"/>
  <c r="AV1414" i="1"/>
  <c r="AU1414" i="1"/>
  <c r="AT1414" i="1"/>
  <c r="Y1413" i="1"/>
  <c r="X1413" i="1"/>
  <c r="AX1413" i="1"/>
  <c r="AW1413" i="1"/>
  <c r="AV1413" i="1"/>
  <c r="AU1413" i="1"/>
  <c r="AT1413" i="1"/>
  <c r="Y1412" i="1"/>
  <c r="X1412" i="1"/>
  <c r="AX1412" i="1"/>
  <c r="AW1412" i="1"/>
  <c r="AV1412" i="1"/>
  <c r="AU1412" i="1"/>
  <c r="AT1412" i="1"/>
  <c r="Y1411" i="1"/>
  <c r="X1411" i="1"/>
  <c r="AX1411" i="1"/>
  <c r="AW1411" i="1"/>
  <c r="AV1411" i="1"/>
  <c r="AU1411" i="1"/>
  <c r="AT1411" i="1"/>
  <c r="Y1410" i="1"/>
  <c r="X1410" i="1"/>
  <c r="AX1410" i="1"/>
  <c r="AW1410" i="1"/>
  <c r="AV1410" i="1"/>
  <c r="AU1410" i="1"/>
  <c r="AT1410" i="1"/>
  <c r="Y1409" i="1"/>
  <c r="X1409" i="1"/>
  <c r="AX1409" i="1"/>
  <c r="AW1409" i="1"/>
  <c r="AV1409" i="1"/>
  <c r="AU1409" i="1"/>
  <c r="AT1409" i="1"/>
  <c r="Y1408" i="1"/>
  <c r="X1408" i="1"/>
  <c r="AX1408" i="1"/>
  <c r="AW1408" i="1"/>
  <c r="AV1408" i="1"/>
  <c r="AU1408" i="1"/>
  <c r="AT1408" i="1"/>
  <c r="Y1407" i="1"/>
  <c r="X1407" i="1"/>
  <c r="AX1407" i="1"/>
  <c r="AW1407" i="1"/>
  <c r="AV1407" i="1"/>
  <c r="AU1407" i="1"/>
  <c r="AT1407" i="1"/>
  <c r="Y1406" i="1"/>
  <c r="X1406" i="1"/>
  <c r="AX1406" i="1"/>
  <c r="AW1406" i="1"/>
  <c r="AV1406" i="1"/>
  <c r="AU1406" i="1"/>
  <c r="AT1406" i="1"/>
  <c r="Y1405" i="1"/>
  <c r="X1405" i="1"/>
  <c r="AX1405" i="1"/>
  <c r="AW1405" i="1"/>
  <c r="AV1405" i="1"/>
  <c r="AU1405" i="1"/>
  <c r="AT1405" i="1"/>
  <c r="Y1404" i="1"/>
  <c r="X1404" i="1"/>
  <c r="AX1404" i="1"/>
  <c r="AW1404" i="1"/>
  <c r="AV1404" i="1"/>
  <c r="AU1404" i="1"/>
  <c r="AT1404" i="1"/>
  <c r="Y1403" i="1"/>
  <c r="X1403" i="1"/>
  <c r="AX1403" i="1"/>
  <c r="AW1403" i="1"/>
  <c r="AV1403" i="1"/>
  <c r="AU1403" i="1"/>
  <c r="AT1403" i="1"/>
  <c r="Y1402" i="1"/>
  <c r="X1402" i="1"/>
  <c r="AX1402" i="1"/>
  <c r="AW1402" i="1"/>
  <c r="AV1402" i="1"/>
  <c r="AU1402" i="1"/>
  <c r="AT1402" i="1"/>
  <c r="Y1401" i="1"/>
  <c r="X1401" i="1"/>
  <c r="AX1401" i="1"/>
  <c r="AW1401" i="1"/>
  <c r="AV1401" i="1"/>
  <c r="AU1401" i="1"/>
  <c r="AT1401" i="1"/>
  <c r="Y1400" i="1"/>
  <c r="X1400" i="1"/>
  <c r="AX1400" i="1"/>
  <c r="AW1400" i="1"/>
  <c r="AV1400" i="1"/>
  <c r="AU1400" i="1"/>
  <c r="AT1400" i="1"/>
  <c r="Y1399" i="1"/>
  <c r="X1399" i="1"/>
  <c r="AX1399" i="1"/>
  <c r="AW1399" i="1"/>
  <c r="AV1399" i="1"/>
  <c r="AU1399" i="1"/>
  <c r="AT1399" i="1"/>
  <c r="Y1398" i="1"/>
  <c r="X1398" i="1"/>
  <c r="AX1398" i="1"/>
  <c r="AW1398" i="1"/>
  <c r="AV1398" i="1"/>
  <c r="AU1398" i="1"/>
  <c r="AT1398" i="1"/>
  <c r="Y1397" i="1"/>
  <c r="X1397" i="1"/>
  <c r="AX1397" i="1"/>
  <c r="AW1397" i="1"/>
  <c r="AV1397" i="1"/>
  <c r="AU1397" i="1"/>
  <c r="AT1397" i="1"/>
  <c r="Y1396" i="1"/>
  <c r="X1396" i="1"/>
  <c r="AX1396" i="1"/>
  <c r="AW1396" i="1"/>
  <c r="AV1396" i="1"/>
  <c r="AU1396" i="1"/>
  <c r="AT1396" i="1"/>
  <c r="Y1395" i="1"/>
  <c r="X1395" i="1"/>
  <c r="AX1395" i="1"/>
  <c r="AW1395" i="1"/>
  <c r="AV1395" i="1"/>
  <c r="AU1395" i="1"/>
  <c r="AT1395" i="1"/>
  <c r="Y1393" i="1"/>
  <c r="X1393" i="1"/>
  <c r="AX1393" i="1"/>
  <c r="AW1393" i="1"/>
  <c r="AV1393" i="1"/>
  <c r="AU1393" i="1"/>
  <c r="AT1393" i="1"/>
  <c r="Y1392" i="1"/>
  <c r="X1392" i="1"/>
  <c r="AX1392" i="1"/>
  <c r="AW1392" i="1"/>
  <c r="AV1392" i="1"/>
  <c r="AU1392" i="1"/>
  <c r="AT1392" i="1"/>
  <c r="Y1391" i="1"/>
  <c r="X1391" i="1"/>
  <c r="AX1391" i="1"/>
  <c r="AW1391" i="1"/>
  <c r="AV1391" i="1"/>
  <c r="AU1391" i="1"/>
  <c r="AT1391" i="1"/>
  <c r="Y1390" i="1"/>
  <c r="X1390" i="1"/>
  <c r="AX1390" i="1"/>
  <c r="AW1390" i="1"/>
  <c r="AV1390" i="1"/>
  <c r="AU1390" i="1"/>
  <c r="AT1390" i="1"/>
  <c r="Y1389" i="1"/>
  <c r="X1389" i="1"/>
  <c r="AX1389" i="1"/>
  <c r="AW1389" i="1"/>
  <c r="AV1389" i="1"/>
  <c r="AU1389" i="1"/>
  <c r="AT1389" i="1"/>
  <c r="Y1388" i="1"/>
  <c r="X1388" i="1"/>
  <c r="AX1388" i="1"/>
  <c r="AW1388" i="1"/>
  <c r="AV1388" i="1"/>
  <c r="AU1388" i="1"/>
  <c r="AT1388" i="1"/>
  <c r="Y1387" i="1"/>
  <c r="X1387" i="1"/>
  <c r="AX1387" i="1"/>
  <c r="AW1387" i="1"/>
  <c r="AV1387" i="1"/>
  <c r="AU1387" i="1"/>
  <c r="AT1387" i="1"/>
  <c r="Y1386" i="1"/>
  <c r="X1386" i="1"/>
  <c r="AX1386" i="1"/>
  <c r="AW1386" i="1"/>
  <c r="AV1386" i="1"/>
  <c r="AU1386" i="1"/>
  <c r="AT1386" i="1"/>
  <c r="Y1385" i="1"/>
  <c r="X1385" i="1"/>
  <c r="AX1385" i="1"/>
  <c r="AW1385" i="1"/>
  <c r="AV1385" i="1"/>
  <c r="AU1385" i="1"/>
  <c r="AT1385" i="1"/>
  <c r="Y1384" i="1"/>
  <c r="X1384" i="1"/>
  <c r="AX1384" i="1"/>
  <c r="AW1384" i="1"/>
  <c r="AV1384" i="1"/>
  <c r="AU1384" i="1"/>
  <c r="AT1384" i="1"/>
  <c r="Y1383" i="1"/>
  <c r="X1383" i="1"/>
  <c r="AX1383" i="1"/>
  <c r="AW1383" i="1"/>
  <c r="AV1383" i="1"/>
  <c r="AU1383" i="1"/>
  <c r="AT1383" i="1"/>
  <c r="Y1382" i="1"/>
  <c r="X1382" i="1"/>
  <c r="AX1382" i="1"/>
  <c r="AW1382" i="1"/>
  <c r="AV1382" i="1"/>
  <c r="AU1382" i="1"/>
  <c r="AT1382" i="1"/>
  <c r="Y1381" i="1"/>
  <c r="X1381" i="1"/>
  <c r="AX1381" i="1"/>
  <c r="AW1381" i="1"/>
  <c r="AV1381" i="1"/>
  <c r="AU1381" i="1"/>
  <c r="AT1381" i="1"/>
  <c r="Y1380" i="1"/>
  <c r="X1380" i="1"/>
  <c r="AX1380" i="1"/>
  <c r="AW1380" i="1"/>
  <c r="AV1380" i="1"/>
  <c r="AU1380" i="1"/>
  <c r="AT1380" i="1"/>
  <c r="Y1379" i="1"/>
  <c r="X1379" i="1"/>
  <c r="AX1379" i="1"/>
  <c r="AW1379" i="1"/>
  <c r="AV1379" i="1"/>
  <c r="AU1379" i="1"/>
  <c r="AT1379" i="1"/>
  <c r="Y1378" i="1"/>
  <c r="X1378" i="1"/>
  <c r="AX1378" i="1"/>
  <c r="AW1378" i="1"/>
  <c r="AV1378" i="1"/>
  <c r="AU1378" i="1"/>
  <c r="AT1378" i="1"/>
  <c r="Y1377" i="1"/>
  <c r="X1377" i="1"/>
  <c r="AX1377" i="1"/>
  <c r="AW1377" i="1"/>
  <c r="AV1377" i="1"/>
  <c r="AU1377" i="1"/>
  <c r="AT1377" i="1"/>
  <c r="Y1376" i="1"/>
  <c r="X1376" i="1"/>
  <c r="AX1376" i="1"/>
  <c r="AW1376" i="1"/>
  <c r="AV1376" i="1"/>
  <c r="AU1376" i="1"/>
  <c r="AT1376" i="1"/>
  <c r="Y1375" i="1"/>
  <c r="X1375" i="1"/>
  <c r="AX1375" i="1"/>
  <c r="AW1375" i="1"/>
  <c r="AV1375" i="1"/>
  <c r="AU1375" i="1"/>
  <c r="AT1375" i="1"/>
  <c r="Y1374" i="1"/>
  <c r="X1374" i="1"/>
  <c r="AX1374" i="1"/>
  <c r="AW1374" i="1"/>
  <c r="AV1374" i="1"/>
  <c r="AU1374" i="1"/>
  <c r="AT1374" i="1"/>
  <c r="Y1373" i="1"/>
  <c r="X1373" i="1"/>
  <c r="AX1373" i="1"/>
  <c r="AW1373" i="1"/>
  <c r="AV1373" i="1"/>
  <c r="AU1373" i="1"/>
  <c r="AT1373" i="1"/>
  <c r="Y1372" i="1"/>
  <c r="X1372" i="1"/>
  <c r="AX1372" i="1"/>
  <c r="AW1372" i="1"/>
  <c r="AV1372" i="1"/>
  <c r="AU1372" i="1"/>
  <c r="AT1372" i="1"/>
  <c r="Y1371" i="1"/>
  <c r="X1371" i="1"/>
  <c r="AX1371" i="1"/>
  <c r="AW1371" i="1"/>
  <c r="AV1371" i="1"/>
  <c r="AU1371" i="1"/>
  <c r="AT1371" i="1"/>
  <c r="Y1370" i="1"/>
  <c r="X1370" i="1"/>
  <c r="AX1370" i="1"/>
  <c r="AW1370" i="1"/>
  <c r="AV1370" i="1"/>
  <c r="AU1370" i="1"/>
  <c r="AT1370" i="1"/>
  <c r="Y1369" i="1"/>
  <c r="X1369" i="1"/>
  <c r="AX1369" i="1"/>
  <c r="AW1369" i="1"/>
  <c r="AV1369" i="1"/>
  <c r="AU1369" i="1"/>
  <c r="AT1369" i="1"/>
  <c r="Y1368" i="1"/>
  <c r="X1368" i="1"/>
  <c r="AX1368" i="1"/>
  <c r="AW1368" i="1"/>
  <c r="AV1368" i="1"/>
  <c r="AU1368" i="1"/>
  <c r="AT1368" i="1"/>
  <c r="Y1367" i="1"/>
  <c r="X1367" i="1"/>
  <c r="AX1367" i="1"/>
  <c r="AW1367" i="1"/>
  <c r="AV1367" i="1"/>
  <c r="AU1367" i="1"/>
  <c r="AT1367" i="1"/>
  <c r="Y1366" i="1"/>
  <c r="X1366" i="1"/>
  <c r="AX1366" i="1"/>
  <c r="AW1366" i="1"/>
  <c r="AV1366" i="1"/>
  <c r="AU1366" i="1"/>
  <c r="AT1366" i="1"/>
  <c r="Y1365" i="1"/>
  <c r="X1365" i="1"/>
  <c r="AX1365" i="1"/>
  <c r="AW1365" i="1"/>
  <c r="AV1365" i="1"/>
  <c r="AU1365" i="1"/>
  <c r="AT1365" i="1"/>
  <c r="Y1364" i="1"/>
  <c r="X1364" i="1"/>
  <c r="AX1364" i="1"/>
  <c r="AW1364" i="1"/>
  <c r="AV1364" i="1"/>
  <c r="AU1364" i="1"/>
  <c r="AT1364" i="1"/>
  <c r="Y1363" i="1"/>
  <c r="X1363" i="1"/>
  <c r="AX1363" i="1"/>
  <c r="AW1363" i="1"/>
  <c r="AV1363" i="1"/>
  <c r="AU1363" i="1"/>
  <c r="AT1363" i="1"/>
  <c r="Y1362" i="1"/>
  <c r="X1362" i="1"/>
  <c r="AX1362" i="1"/>
  <c r="AW1362" i="1"/>
  <c r="AV1362" i="1"/>
  <c r="AU1362" i="1"/>
  <c r="AT1362" i="1"/>
  <c r="Y1361" i="1"/>
  <c r="X1361" i="1"/>
  <c r="AX1361" i="1"/>
  <c r="AW1361" i="1"/>
  <c r="AV1361" i="1"/>
  <c r="AU1361" i="1"/>
  <c r="AT1361" i="1"/>
  <c r="Y1360" i="1"/>
  <c r="X1360" i="1"/>
  <c r="AX1360" i="1"/>
  <c r="AW1360" i="1"/>
  <c r="AV1360" i="1"/>
  <c r="AU1360" i="1"/>
  <c r="AT1360" i="1"/>
  <c r="Y1359" i="1"/>
  <c r="X1359" i="1"/>
  <c r="AX1359" i="1"/>
  <c r="AW1359" i="1"/>
  <c r="AV1359" i="1"/>
  <c r="AU1359" i="1"/>
  <c r="AT1359" i="1"/>
  <c r="Y1358" i="1"/>
  <c r="X1358" i="1"/>
  <c r="AX1358" i="1"/>
  <c r="AW1358" i="1"/>
  <c r="AV1358" i="1"/>
  <c r="AU1358" i="1"/>
  <c r="AT1358" i="1"/>
  <c r="Y1357" i="1"/>
  <c r="X1357" i="1"/>
  <c r="AX1357" i="1"/>
  <c r="AW1357" i="1"/>
  <c r="AV1357" i="1"/>
  <c r="AU1357" i="1"/>
  <c r="AT1357" i="1"/>
  <c r="Y1356" i="1"/>
  <c r="X1356" i="1"/>
  <c r="AX1356" i="1"/>
  <c r="AW1356" i="1"/>
  <c r="AV1356" i="1"/>
  <c r="AU1356" i="1"/>
  <c r="AT1356" i="1"/>
  <c r="Y1355" i="1"/>
  <c r="X1355" i="1"/>
  <c r="AX1355" i="1"/>
  <c r="AW1355" i="1"/>
  <c r="AV1355" i="1"/>
  <c r="AU1355" i="1"/>
  <c r="AT1355" i="1"/>
  <c r="Y1353" i="1"/>
  <c r="X1353" i="1"/>
  <c r="AX1353" i="1"/>
  <c r="AW1353" i="1"/>
  <c r="AV1353" i="1"/>
  <c r="AU1353" i="1"/>
  <c r="AT1353" i="1"/>
  <c r="Y1352" i="1"/>
  <c r="X1352" i="1"/>
  <c r="AX1352" i="1"/>
  <c r="AW1352" i="1"/>
  <c r="AV1352" i="1"/>
  <c r="AU1352" i="1"/>
  <c r="AT1352" i="1"/>
  <c r="Y1351" i="1"/>
  <c r="X1351" i="1"/>
  <c r="AX1351" i="1"/>
  <c r="AW1351" i="1"/>
  <c r="AV1351" i="1"/>
  <c r="AU1351" i="1"/>
  <c r="AT1351" i="1"/>
  <c r="Y1350" i="1"/>
  <c r="X1350" i="1"/>
  <c r="AX1350" i="1"/>
  <c r="AW1350" i="1"/>
  <c r="AV1350" i="1"/>
  <c r="AU1350" i="1"/>
  <c r="AT1350" i="1"/>
  <c r="Y1349" i="1"/>
  <c r="X1349" i="1"/>
  <c r="AX1349" i="1"/>
  <c r="AW1349" i="1"/>
  <c r="AV1349" i="1"/>
  <c r="AU1349" i="1"/>
  <c r="AT1349" i="1"/>
  <c r="Y1348" i="1"/>
  <c r="X1348" i="1"/>
  <c r="AX1348" i="1"/>
  <c r="AW1348" i="1"/>
  <c r="AV1348" i="1"/>
  <c r="AU1348" i="1"/>
  <c r="AT1348" i="1"/>
  <c r="Y1347" i="1"/>
  <c r="X1347" i="1"/>
  <c r="AX1347" i="1"/>
  <c r="AW1347" i="1"/>
  <c r="AV1347" i="1"/>
  <c r="AU1347" i="1"/>
  <c r="AT1347" i="1"/>
  <c r="Y1346" i="1"/>
  <c r="X1346" i="1"/>
  <c r="AX1346" i="1"/>
  <c r="AW1346" i="1"/>
  <c r="AV1346" i="1"/>
  <c r="AU1346" i="1"/>
  <c r="AT1346" i="1"/>
  <c r="Y1345" i="1"/>
  <c r="X1345" i="1"/>
  <c r="AX1345" i="1"/>
  <c r="AW1345" i="1"/>
  <c r="AV1345" i="1"/>
  <c r="AU1345" i="1"/>
  <c r="AT1345" i="1"/>
  <c r="Y1344" i="1"/>
  <c r="X1344" i="1"/>
  <c r="AX1344" i="1"/>
  <c r="AW1344" i="1"/>
  <c r="AV1344" i="1"/>
  <c r="AU1344" i="1"/>
  <c r="AT1344" i="1"/>
  <c r="Y1343" i="1"/>
  <c r="X1343" i="1"/>
  <c r="AX1343" i="1"/>
  <c r="AW1343" i="1"/>
  <c r="AV1343" i="1"/>
  <c r="AU1343" i="1"/>
  <c r="AT1343" i="1"/>
  <c r="Y1342" i="1"/>
  <c r="X1342" i="1"/>
  <c r="AX1342" i="1"/>
  <c r="AW1342" i="1"/>
  <c r="AV1342" i="1"/>
  <c r="AU1342" i="1"/>
  <c r="AT1342" i="1"/>
  <c r="Y1341" i="1"/>
  <c r="X1341" i="1"/>
  <c r="AX1341" i="1"/>
  <c r="AW1341" i="1"/>
  <c r="AV1341" i="1"/>
  <c r="AU1341" i="1"/>
  <c r="AT1341" i="1"/>
  <c r="Y1340" i="1"/>
  <c r="X1340" i="1"/>
  <c r="AX1340" i="1"/>
  <c r="AW1340" i="1"/>
  <c r="AV1340" i="1"/>
  <c r="AU1340" i="1"/>
  <c r="AT1340" i="1"/>
  <c r="Y1339" i="1"/>
  <c r="X1339" i="1"/>
  <c r="AX1339" i="1"/>
  <c r="AW1339" i="1"/>
  <c r="AV1339" i="1"/>
  <c r="AU1339" i="1"/>
  <c r="AT1339" i="1"/>
  <c r="Y1338" i="1"/>
  <c r="X1338" i="1"/>
  <c r="AX1338" i="1"/>
  <c r="AW1338" i="1"/>
  <c r="AV1338" i="1"/>
  <c r="AU1338" i="1"/>
  <c r="AT1338" i="1"/>
  <c r="Y1337" i="1"/>
  <c r="X1337" i="1"/>
  <c r="AX1337" i="1"/>
  <c r="AW1337" i="1"/>
  <c r="AV1337" i="1"/>
  <c r="AU1337" i="1"/>
  <c r="AT1337" i="1"/>
  <c r="Y1336" i="1"/>
  <c r="X1336" i="1"/>
  <c r="AX1336" i="1"/>
  <c r="AW1336" i="1"/>
  <c r="AV1336" i="1"/>
  <c r="AU1336" i="1"/>
  <c r="AT1336" i="1"/>
  <c r="Y1335" i="1"/>
  <c r="X1335" i="1"/>
  <c r="AX1335" i="1"/>
  <c r="AW1335" i="1"/>
  <c r="AV1335" i="1"/>
  <c r="AU1335" i="1"/>
  <c r="AT1335" i="1"/>
  <c r="Y1334" i="1"/>
  <c r="X1334" i="1"/>
  <c r="AX1334" i="1"/>
  <c r="AW1334" i="1"/>
  <c r="AV1334" i="1"/>
  <c r="AU1334" i="1"/>
  <c r="AT1334" i="1"/>
  <c r="Y1332" i="1"/>
  <c r="X1332" i="1"/>
  <c r="AX1332" i="1"/>
  <c r="AW1332" i="1"/>
  <c r="AV1332" i="1"/>
  <c r="AU1332" i="1"/>
  <c r="AT1332" i="1"/>
  <c r="Y1331" i="1"/>
  <c r="X1331" i="1"/>
  <c r="AX1331" i="1"/>
  <c r="AW1331" i="1"/>
  <c r="AV1331" i="1"/>
  <c r="AU1331" i="1"/>
  <c r="AT1331" i="1"/>
  <c r="Y1330" i="1"/>
  <c r="X1330" i="1"/>
  <c r="AX1330" i="1"/>
  <c r="AW1330" i="1"/>
  <c r="AV1330" i="1"/>
  <c r="AU1330" i="1"/>
  <c r="AT1330" i="1"/>
  <c r="Y1329" i="1"/>
  <c r="X1329" i="1"/>
  <c r="AX1329" i="1"/>
  <c r="AW1329" i="1"/>
  <c r="AV1329" i="1"/>
  <c r="AU1329" i="1"/>
  <c r="AT1329" i="1"/>
  <c r="Y1328" i="1"/>
  <c r="X1328" i="1"/>
  <c r="AX1328" i="1"/>
  <c r="AW1328" i="1"/>
  <c r="AV1328" i="1"/>
  <c r="AU1328" i="1"/>
  <c r="AT1328" i="1"/>
  <c r="Y1327" i="1"/>
  <c r="X1327" i="1"/>
  <c r="AX1327" i="1"/>
  <c r="AW1327" i="1"/>
  <c r="AV1327" i="1"/>
  <c r="AU1327" i="1"/>
  <c r="AT1327" i="1"/>
  <c r="Y1326" i="1"/>
  <c r="X1326" i="1"/>
  <c r="AX1326" i="1"/>
  <c r="AW1326" i="1"/>
  <c r="AV1326" i="1"/>
  <c r="AU1326" i="1"/>
  <c r="AT1326" i="1"/>
  <c r="Y1325" i="1"/>
  <c r="X1325" i="1"/>
  <c r="AX1325" i="1"/>
  <c r="AW1325" i="1"/>
  <c r="AV1325" i="1"/>
  <c r="AU1325" i="1"/>
  <c r="AT1325" i="1"/>
  <c r="Y1324" i="1"/>
  <c r="X1324" i="1"/>
  <c r="AX1324" i="1"/>
  <c r="AW1324" i="1"/>
  <c r="AV1324" i="1"/>
  <c r="AU1324" i="1"/>
  <c r="AT1324" i="1"/>
  <c r="Y1323" i="1"/>
  <c r="X1323" i="1"/>
  <c r="AX1323" i="1"/>
  <c r="AW1323" i="1"/>
  <c r="AV1323" i="1"/>
  <c r="AU1323" i="1"/>
  <c r="AT1323" i="1"/>
  <c r="Y1322" i="1"/>
  <c r="X1322" i="1"/>
  <c r="AX1322" i="1"/>
  <c r="AW1322" i="1"/>
  <c r="AV1322" i="1"/>
  <c r="AU1322" i="1"/>
  <c r="AT1322" i="1"/>
  <c r="Y1321" i="1"/>
  <c r="X1321" i="1"/>
  <c r="AX1321" i="1"/>
  <c r="AW1321" i="1"/>
  <c r="AV1321" i="1"/>
  <c r="AU1321" i="1"/>
  <c r="AT1321" i="1"/>
  <c r="Y1320" i="1"/>
  <c r="X1320" i="1"/>
  <c r="AX1320" i="1"/>
  <c r="AW1320" i="1"/>
  <c r="AV1320" i="1"/>
  <c r="AU1320" i="1"/>
  <c r="AT1320" i="1"/>
  <c r="Y1319" i="1"/>
  <c r="X1319" i="1"/>
  <c r="AX1319" i="1"/>
  <c r="AW1319" i="1"/>
  <c r="AV1319" i="1"/>
  <c r="AU1319" i="1"/>
  <c r="AT1319" i="1"/>
  <c r="Y1318" i="1"/>
  <c r="X1318" i="1"/>
  <c r="AX1318" i="1"/>
  <c r="AW1318" i="1"/>
  <c r="AV1318" i="1"/>
  <c r="AU1318" i="1"/>
  <c r="AT1318" i="1"/>
  <c r="Y1317" i="1"/>
  <c r="X1317" i="1"/>
  <c r="AX1317" i="1"/>
  <c r="AW1317" i="1"/>
  <c r="AV1317" i="1"/>
  <c r="AU1317" i="1"/>
  <c r="AT1317" i="1"/>
  <c r="Y1316" i="1"/>
  <c r="X1316" i="1"/>
  <c r="AX1316" i="1"/>
  <c r="AW1316" i="1"/>
  <c r="AV1316" i="1"/>
  <c r="AU1316" i="1"/>
  <c r="AT1316" i="1"/>
  <c r="Y1315" i="1"/>
  <c r="X1315" i="1"/>
  <c r="AX1315" i="1"/>
  <c r="AW1315" i="1"/>
  <c r="AV1315" i="1"/>
  <c r="AU1315" i="1"/>
  <c r="AT1315" i="1"/>
  <c r="Y1314" i="1"/>
  <c r="X1314" i="1"/>
  <c r="AX1314" i="1"/>
  <c r="AW1314" i="1"/>
  <c r="AV1314" i="1"/>
  <c r="AU1314" i="1"/>
  <c r="AT1314" i="1"/>
  <c r="Y1313" i="1"/>
  <c r="X1313" i="1"/>
  <c r="AX1313" i="1"/>
  <c r="AW1313" i="1"/>
  <c r="AV1313" i="1"/>
  <c r="AU1313" i="1"/>
  <c r="AT1313" i="1"/>
  <c r="Y1312" i="1"/>
  <c r="X1312" i="1"/>
  <c r="AX1312" i="1"/>
  <c r="AW1312" i="1"/>
  <c r="AV1312" i="1"/>
  <c r="AU1312" i="1"/>
  <c r="AT1312" i="1"/>
  <c r="Y1311" i="1"/>
  <c r="X1311" i="1"/>
  <c r="AX1311" i="1"/>
  <c r="AW1311" i="1"/>
  <c r="AV1311" i="1"/>
  <c r="AU1311" i="1"/>
  <c r="AT1311" i="1"/>
  <c r="Y1310" i="1"/>
  <c r="X1310" i="1"/>
  <c r="AX1310" i="1"/>
  <c r="AW1310" i="1"/>
  <c r="AV1310" i="1"/>
  <c r="AU1310" i="1"/>
  <c r="AT1310" i="1"/>
  <c r="Y1309" i="1"/>
  <c r="X1309" i="1"/>
  <c r="AX1309" i="1"/>
  <c r="AW1309" i="1"/>
  <c r="AV1309" i="1"/>
  <c r="AU1309" i="1"/>
  <c r="AT1309" i="1"/>
  <c r="Y1308" i="1"/>
  <c r="X1308" i="1"/>
  <c r="AX1308" i="1"/>
  <c r="AW1308" i="1"/>
  <c r="AV1308" i="1"/>
  <c r="AU1308" i="1"/>
  <c r="AT1308" i="1"/>
  <c r="Y1307" i="1"/>
  <c r="X1307" i="1"/>
  <c r="AX1307" i="1"/>
  <c r="AW1307" i="1"/>
  <c r="AV1307" i="1"/>
  <c r="AU1307" i="1"/>
  <c r="AT1307" i="1"/>
  <c r="Y1306" i="1"/>
  <c r="X1306" i="1"/>
  <c r="AX1306" i="1"/>
  <c r="AW1306" i="1"/>
  <c r="AV1306" i="1"/>
  <c r="AU1306" i="1"/>
  <c r="AT1306" i="1"/>
  <c r="Y1305" i="1"/>
  <c r="X1305" i="1"/>
  <c r="AX1305" i="1"/>
  <c r="AW1305" i="1"/>
  <c r="AV1305" i="1"/>
  <c r="AU1305" i="1"/>
  <c r="AT1305" i="1"/>
  <c r="Y1304" i="1"/>
  <c r="X1304" i="1"/>
  <c r="AX1304" i="1"/>
  <c r="AW1304" i="1"/>
  <c r="AV1304" i="1"/>
  <c r="AU1304" i="1"/>
  <c r="AT1304" i="1"/>
  <c r="Y1303" i="1"/>
  <c r="X1303" i="1"/>
  <c r="AX1303" i="1"/>
  <c r="AW1303" i="1"/>
  <c r="AV1303" i="1"/>
  <c r="AU1303" i="1"/>
  <c r="AT1303" i="1"/>
  <c r="Y1302" i="1"/>
  <c r="X1302" i="1"/>
  <c r="AX1302" i="1"/>
  <c r="AW1302" i="1"/>
  <c r="AV1302" i="1"/>
  <c r="AU1302" i="1"/>
  <c r="AT1302" i="1"/>
  <c r="Y1301" i="1"/>
  <c r="X1301" i="1"/>
  <c r="AX1301" i="1"/>
  <c r="AW1301" i="1"/>
  <c r="AV1301" i="1"/>
  <c r="AU1301" i="1"/>
  <c r="AT1301" i="1"/>
  <c r="Y1300" i="1"/>
  <c r="X1300" i="1"/>
  <c r="AX1300" i="1"/>
  <c r="AW1300" i="1"/>
  <c r="AV1300" i="1"/>
  <c r="AU1300" i="1"/>
  <c r="AT1300" i="1"/>
  <c r="Y1299" i="1"/>
  <c r="X1299" i="1"/>
  <c r="AX1299" i="1"/>
  <c r="AW1299" i="1"/>
  <c r="AV1299" i="1"/>
  <c r="AU1299" i="1"/>
  <c r="AT1299" i="1"/>
  <c r="Y1298" i="1"/>
  <c r="X1298" i="1"/>
  <c r="AX1298" i="1"/>
  <c r="AW1298" i="1"/>
  <c r="AV1298" i="1"/>
  <c r="AU1298" i="1"/>
  <c r="AT1298" i="1"/>
  <c r="Y1297" i="1"/>
  <c r="X1297" i="1"/>
  <c r="AX1297" i="1"/>
  <c r="AW1297" i="1"/>
  <c r="AV1297" i="1"/>
  <c r="AU1297" i="1"/>
  <c r="AT1297" i="1"/>
  <c r="Y1296" i="1"/>
  <c r="X1296" i="1"/>
  <c r="AX1296" i="1"/>
  <c r="AW1296" i="1"/>
  <c r="AV1296" i="1"/>
  <c r="AU1296" i="1"/>
  <c r="AT1296" i="1"/>
  <c r="Y1295" i="1"/>
  <c r="X1295" i="1"/>
  <c r="AX1295" i="1"/>
  <c r="AW1295" i="1"/>
  <c r="AV1295" i="1"/>
  <c r="AU1295" i="1"/>
  <c r="AT1295" i="1"/>
  <c r="Y1294" i="1"/>
  <c r="X1294" i="1"/>
  <c r="AX1294" i="1"/>
  <c r="AW1294" i="1"/>
  <c r="AV1294" i="1"/>
  <c r="AU1294" i="1"/>
  <c r="AT1294" i="1"/>
  <c r="Y1293" i="1"/>
  <c r="X1293" i="1"/>
  <c r="AX1293" i="1"/>
  <c r="AW1293" i="1"/>
  <c r="AV1293" i="1"/>
  <c r="AU1293" i="1"/>
  <c r="AT1293" i="1"/>
  <c r="Y1292" i="1"/>
  <c r="X1292" i="1"/>
  <c r="AX1292" i="1"/>
  <c r="AW1292" i="1"/>
  <c r="AV1292" i="1"/>
  <c r="AU1292" i="1"/>
  <c r="AT1292" i="1"/>
  <c r="Y1291" i="1"/>
  <c r="X1291" i="1"/>
  <c r="AX1291" i="1"/>
  <c r="AW1291" i="1"/>
  <c r="AV1291" i="1"/>
  <c r="AU1291" i="1"/>
  <c r="AT1291" i="1"/>
  <c r="Y1290" i="1"/>
  <c r="X1290" i="1"/>
  <c r="AX1290" i="1"/>
  <c r="AW1290" i="1"/>
  <c r="AV1290" i="1"/>
  <c r="AU1290" i="1"/>
  <c r="AT1290" i="1"/>
  <c r="Y1289" i="1"/>
  <c r="X1289" i="1"/>
  <c r="AX1289" i="1"/>
  <c r="AW1289" i="1"/>
  <c r="AV1289" i="1"/>
  <c r="AU1289" i="1"/>
  <c r="AT1289" i="1"/>
  <c r="Y1288" i="1"/>
  <c r="X1288" i="1"/>
  <c r="AX1288" i="1"/>
  <c r="AW1288" i="1"/>
  <c r="AV1288" i="1"/>
  <c r="AU1288" i="1"/>
  <c r="AT1288" i="1"/>
  <c r="Y1287" i="1"/>
  <c r="X1287" i="1"/>
  <c r="AX1287" i="1"/>
  <c r="AW1287" i="1"/>
  <c r="AV1287" i="1"/>
  <c r="AU1287" i="1"/>
  <c r="AT1287" i="1"/>
  <c r="Y1286" i="1"/>
  <c r="X1286" i="1"/>
  <c r="AX1286" i="1"/>
  <c r="AW1286" i="1"/>
  <c r="AV1286" i="1"/>
  <c r="AU1286" i="1"/>
  <c r="AT1286" i="1"/>
  <c r="Y1285" i="1"/>
  <c r="X1285" i="1"/>
  <c r="AX1285" i="1"/>
  <c r="AW1285" i="1"/>
  <c r="AV1285" i="1"/>
  <c r="AU1285" i="1"/>
  <c r="AT1285" i="1"/>
  <c r="Y1284" i="1"/>
  <c r="X1284" i="1"/>
  <c r="AX1284" i="1"/>
  <c r="AW1284" i="1"/>
  <c r="AV1284" i="1"/>
  <c r="AU1284" i="1"/>
  <c r="AT1284" i="1"/>
  <c r="Y1283" i="1"/>
  <c r="X1283" i="1"/>
  <c r="AX1283" i="1"/>
  <c r="AW1283" i="1"/>
  <c r="AV1283" i="1"/>
  <c r="AU1283" i="1"/>
  <c r="AT1283" i="1"/>
  <c r="Y1282" i="1"/>
  <c r="X1282" i="1"/>
  <c r="AX1282" i="1"/>
  <c r="AW1282" i="1"/>
  <c r="AV1282" i="1"/>
  <c r="AU1282" i="1"/>
  <c r="AT1282" i="1"/>
  <c r="Y1281" i="1"/>
  <c r="X1281" i="1"/>
  <c r="AX1281" i="1"/>
  <c r="AW1281" i="1"/>
  <c r="AV1281" i="1"/>
  <c r="AU1281" i="1"/>
  <c r="AT1281" i="1"/>
  <c r="Y1280" i="1"/>
  <c r="X1280" i="1"/>
  <c r="AX1280" i="1"/>
  <c r="AW1280" i="1"/>
  <c r="AV1280" i="1"/>
  <c r="AU1280" i="1"/>
  <c r="AT1280" i="1"/>
  <c r="Y1279" i="1"/>
  <c r="X1279" i="1"/>
  <c r="AX1279" i="1"/>
  <c r="AW1279" i="1"/>
  <c r="AV1279" i="1"/>
  <c r="AU1279" i="1"/>
  <c r="AT1279" i="1"/>
  <c r="Y1278" i="1"/>
  <c r="X1278" i="1"/>
  <c r="AX1278" i="1"/>
  <c r="AW1278" i="1"/>
  <c r="AV1278" i="1"/>
  <c r="AU1278" i="1"/>
  <c r="AT1278" i="1"/>
  <c r="Y1277" i="1"/>
  <c r="X1277" i="1"/>
  <c r="AX1277" i="1"/>
  <c r="AW1277" i="1"/>
  <c r="AV1277" i="1"/>
  <c r="AU1277" i="1"/>
  <c r="AT1277" i="1"/>
  <c r="Y1275" i="1"/>
  <c r="X1275" i="1"/>
  <c r="AX1275" i="1"/>
  <c r="AW1275" i="1"/>
  <c r="AV1275" i="1"/>
  <c r="AU1275" i="1"/>
  <c r="AT1275" i="1"/>
  <c r="Y1274" i="1"/>
  <c r="X1274" i="1"/>
  <c r="AX1274" i="1"/>
  <c r="AW1274" i="1"/>
  <c r="AV1274" i="1"/>
  <c r="AU1274" i="1"/>
  <c r="AT1274" i="1"/>
  <c r="Y1273" i="1"/>
  <c r="X1273" i="1"/>
  <c r="AX1273" i="1"/>
  <c r="AW1273" i="1"/>
  <c r="AV1273" i="1"/>
  <c r="AU1273" i="1"/>
  <c r="AT1273" i="1"/>
  <c r="Y1272" i="1"/>
  <c r="X1272" i="1"/>
  <c r="AX1272" i="1"/>
  <c r="AW1272" i="1"/>
  <c r="AV1272" i="1"/>
  <c r="AU1272" i="1"/>
  <c r="AT1272" i="1"/>
  <c r="Y1271" i="1"/>
  <c r="X1271" i="1"/>
  <c r="AX1271" i="1"/>
  <c r="AW1271" i="1"/>
  <c r="AV1271" i="1"/>
  <c r="AU1271" i="1"/>
  <c r="AT1271" i="1"/>
  <c r="Y1270" i="1"/>
  <c r="X1270" i="1"/>
  <c r="AX1270" i="1"/>
  <c r="AW1270" i="1"/>
  <c r="AV1270" i="1"/>
  <c r="AU1270" i="1"/>
  <c r="AT1270" i="1"/>
  <c r="Y1269" i="1"/>
  <c r="X1269" i="1"/>
  <c r="AX1269" i="1"/>
  <c r="AW1269" i="1"/>
  <c r="AV1269" i="1"/>
  <c r="AU1269" i="1"/>
  <c r="AT1269" i="1"/>
  <c r="Y1268" i="1"/>
  <c r="X1268" i="1"/>
  <c r="AX1268" i="1"/>
  <c r="AW1268" i="1"/>
  <c r="AV1268" i="1"/>
  <c r="AU1268" i="1"/>
  <c r="AT1268" i="1"/>
  <c r="Y1267" i="1"/>
  <c r="X1267" i="1"/>
  <c r="AX1267" i="1"/>
  <c r="AW1267" i="1"/>
  <c r="AV1267" i="1"/>
  <c r="AU1267" i="1"/>
  <c r="AT1267" i="1"/>
  <c r="Y1266" i="1"/>
  <c r="X1266" i="1"/>
  <c r="AX1266" i="1"/>
  <c r="AW1266" i="1"/>
  <c r="AV1266" i="1"/>
  <c r="AU1266" i="1"/>
  <c r="AT1266" i="1"/>
  <c r="Y1265" i="1"/>
  <c r="X1265" i="1"/>
  <c r="AX1265" i="1"/>
  <c r="AW1265" i="1"/>
  <c r="AV1265" i="1"/>
  <c r="AU1265" i="1"/>
  <c r="AT1265" i="1"/>
  <c r="Y1264" i="1"/>
  <c r="X1264" i="1"/>
  <c r="AX1264" i="1"/>
  <c r="AW1264" i="1"/>
  <c r="AV1264" i="1"/>
  <c r="AU1264" i="1"/>
  <c r="AT1264" i="1"/>
  <c r="Y1263" i="1"/>
  <c r="X1263" i="1"/>
  <c r="AX1263" i="1"/>
  <c r="AW1263" i="1"/>
  <c r="AV1263" i="1"/>
  <c r="AU1263" i="1"/>
  <c r="AT1263" i="1"/>
  <c r="Y1262" i="1"/>
  <c r="X1262" i="1"/>
  <c r="AX1262" i="1"/>
  <c r="AW1262" i="1"/>
  <c r="AV1262" i="1"/>
  <c r="AU1262" i="1"/>
  <c r="AT1262" i="1"/>
  <c r="Y1261" i="1"/>
  <c r="X1261" i="1"/>
  <c r="AX1261" i="1"/>
  <c r="AW1261" i="1"/>
  <c r="AV1261" i="1"/>
  <c r="AU1261" i="1"/>
  <c r="AT1261" i="1"/>
  <c r="Y1260" i="1"/>
  <c r="X1260" i="1"/>
  <c r="AX1260" i="1"/>
  <c r="AW1260" i="1"/>
  <c r="AV1260" i="1"/>
  <c r="AU1260" i="1"/>
  <c r="AT1260" i="1"/>
  <c r="Y1259" i="1"/>
  <c r="X1259" i="1"/>
  <c r="AX1259" i="1"/>
  <c r="AW1259" i="1"/>
  <c r="AV1259" i="1"/>
  <c r="AU1259" i="1"/>
  <c r="AT1259" i="1"/>
  <c r="Y1258" i="1"/>
  <c r="X1258" i="1"/>
  <c r="AX1258" i="1"/>
  <c r="AW1258" i="1"/>
  <c r="AV1258" i="1"/>
  <c r="AU1258" i="1"/>
  <c r="AT1258" i="1"/>
  <c r="Y1257" i="1"/>
  <c r="X1257" i="1"/>
  <c r="AX1257" i="1"/>
  <c r="AW1257" i="1"/>
  <c r="AV1257" i="1"/>
  <c r="AU1257" i="1"/>
  <c r="AT1257" i="1"/>
  <c r="Y1256" i="1"/>
  <c r="X1256" i="1"/>
  <c r="AX1256" i="1"/>
  <c r="AW1256" i="1"/>
  <c r="AV1256" i="1"/>
  <c r="AU1256" i="1"/>
  <c r="AT1256" i="1"/>
  <c r="Y1255" i="1"/>
  <c r="X1255" i="1"/>
  <c r="AX1255" i="1"/>
  <c r="AW1255" i="1"/>
  <c r="AV1255" i="1"/>
  <c r="AU1255" i="1"/>
  <c r="AT1255" i="1"/>
  <c r="Y1254" i="1"/>
  <c r="X1254" i="1"/>
  <c r="AX1254" i="1"/>
  <c r="AW1254" i="1"/>
  <c r="AV1254" i="1"/>
  <c r="AU1254" i="1"/>
  <c r="AT1254" i="1"/>
  <c r="Y1252" i="1"/>
  <c r="X1252" i="1"/>
  <c r="AX1252" i="1"/>
  <c r="AW1252" i="1"/>
  <c r="AV1252" i="1"/>
  <c r="AU1252" i="1"/>
  <c r="AT1252" i="1"/>
  <c r="Y1251" i="1"/>
  <c r="X1251" i="1"/>
  <c r="AX1251" i="1"/>
  <c r="AW1251" i="1"/>
  <c r="AV1251" i="1"/>
  <c r="AU1251" i="1"/>
  <c r="AT1251" i="1"/>
  <c r="Y1250" i="1"/>
  <c r="X1250" i="1"/>
  <c r="AX1250" i="1"/>
  <c r="AW1250" i="1"/>
  <c r="AV1250" i="1"/>
  <c r="AU1250" i="1"/>
  <c r="AT1250" i="1"/>
  <c r="Y1249" i="1"/>
  <c r="X1249" i="1"/>
  <c r="AX1249" i="1"/>
  <c r="AW1249" i="1"/>
  <c r="AV1249" i="1"/>
  <c r="AU1249" i="1"/>
  <c r="AT1249" i="1"/>
  <c r="Y1248" i="1"/>
  <c r="X1248" i="1"/>
  <c r="AX1248" i="1"/>
  <c r="AW1248" i="1"/>
  <c r="AV1248" i="1"/>
  <c r="AU1248" i="1"/>
  <c r="AT1248" i="1"/>
  <c r="Y1247" i="1"/>
  <c r="X1247" i="1"/>
  <c r="AX1247" i="1"/>
  <c r="AW1247" i="1"/>
  <c r="AV1247" i="1"/>
  <c r="AU1247" i="1"/>
  <c r="AT1247" i="1"/>
  <c r="Y1246" i="1"/>
  <c r="X1246" i="1"/>
  <c r="AX1246" i="1"/>
  <c r="AW1246" i="1"/>
  <c r="AV1246" i="1"/>
  <c r="AU1246" i="1"/>
  <c r="AT1246" i="1"/>
  <c r="Y1245" i="1"/>
  <c r="X1245" i="1"/>
  <c r="AX1245" i="1"/>
  <c r="AW1245" i="1"/>
  <c r="AV1245" i="1"/>
  <c r="AU1245" i="1"/>
  <c r="AT1245" i="1"/>
  <c r="Y1244" i="1"/>
  <c r="X1244" i="1"/>
  <c r="AX1244" i="1"/>
  <c r="AW1244" i="1"/>
  <c r="AV1244" i="1"/>
  <c r="AU1244" i="1"/>
  <c r="AT1244" i="1"/>
  <c r="Y1243" i="1"/>
  <c r="X1243" i="1"/>
  <c r="AX1243" i="1"/>
  <c r="AW1243" i="1"/>
  <c r="AV1243" i="1"/>
  <c r="AU1243" i="1"/>
  <c r="AT1243" i="1"/>
  <c r="Y1242" i="1"/>
  <c r="X1242" i="1"/>
  <c r="AX1242" i="1"/>
  <c r="AW1242" i="1"/>
  <c r="AV1242" i="1"/>
  <c r="AU1242" i="1"/>
  <c r="AT1242" i="1"/>
  <c r="Y1241" i="1"/>
  <c r="X1241" i="1"/>
  <c r="AX1241" i="1"/>
  <c r="AW1241" i="1"/>
  <c r="AV1241" i="1"/>
  <c r="AU1241" i="1"/>
  <c r="AT1241" i="1"/>
  <c r="Y1240" i="1"/>
  <c r="X1240" i="1"/>
  <c r="AX1240" i="1"/>
  <c r="AW1240" i="1"/>
  <c r="AV1240" i="1"/>
  <c r="AU1240" i="1"/>
  <c r="AT1240" i="1"/>
  <c r="Y1239" i="1"/>
  <c r="X1239" i="1"/>
  <c r="AX1239" i="1"/>
  <c r="AW1239" i="1"/>
  <c r="AV1239" i="1"/>
  <c r="AU1239" i="1"/>
  <c r="AT1239" i="1"/>
  <c r="Y1238" i="1"/>
  <c r="X1238" i="1"/>
  <c r="AX1238" i="1"/>
  <c r="AW1238" i="1"/>
  <c r="AV1238" i="1"/>
  <c r="AU1238" i="1"/>
  <c r="AT1238" i="1"/>
  <c r="Y1237" i="1"/>
  <c r="X1237" i="1"/>
  <c r="AX1237" i="1"/>
  <c r="AW1237" i="1"/>
  <c r="AV1237" i="1"/>
  <c r="AU1237" i="1"/>
  <c r="AT1237" i="1"/>
  <c r="Y1236" i="1"/>
  <c r="X1236" i="1"/>
  <c r="AX1236" i="1"/>
  <c r="AW1236" i="1"/>
  <c r="AV1236" i="1"/>
  <c r="AU1236" i="1"/>
  <c r="AT1236" i="1"/>
  <c r="Y1235" i="1"/>
  <c r="X1235" i="1"/>
  <c r="AX1235" i="1"/>
  <c r="AW1235" i="1"/>
  <c r="AV1235" i="1"/>
  <c r="AU1235" i="1"/>
  <c r="AT1235" i="1"/>
  <c r="Y1234" i="1"/>
  <c r="X1234" i="1"/>
  <c r="AX1234" i="1"/>
  <c r="AW1234" i="1"/>
  <c r="AV1234" i="1"/>
  <c r="AU1234" i="1"/>
  <c r="AT1234" i="1"/>
  <c r="Y1233" i="1"/>
  <c r="X1233" i="1"/>
  <c r="AX1233" i="1"/>
  <c r="AW1233" i="1"/>
  <c r="AV1233" i="1"/>
  <c r="AU1233" i="1"/>
  <c r="AT1233" i="1"/>
  <c r="Y1232" i="1"/>
  <c r="X1232" i="1"/>
  <c r="AX1232" i="1"/>
  <c r="AW1232" i="1"/>
  <c r="AV1232" i="1"/>
  <c r="AU1232" i="1"/>
  <c r="AT1232" i="1"/>
  <c r="Y1231" i="1"/>
  <c r="X1231" i="1"/>
  <c r="AX1231" i="1"/>
  <c r="AW1231" i="1"/>
  <c r="AV1231" i="1"/>
  <c r="AU1231" i="1"/>
  <c r="AT1231" i="1"/>
  <c r="Y1229" i="1"/>
  <c r="X1229" i="1"/>
  <c r="AX1229" i="1"/>
  <c r="AW1229" i="1"/>
  <c r="AV1229" i="1"/>
  <c r="AU1229" i="1"/>
  <c r="AT1229" i="1"/>
  <c r="Y1228" i="1"/>
  <c r="X1228" i="1"/>
  <c r="AX1228" i="1"/>
  <c r="AW1228" i="1"/>
  <c r="AV1228" i="1"/>
  <c r="AU1228" i="1"/>
  <c r="AT1228" i="1"/>
  <c r="Y1227" i="1"/>
  <c r="X1227" i="1"/>
  <c r="AX1227" i="1"/>
  <c r="AW1227" i="1"/>
  <c r="AV1227" i="1"/>
  <c r="AU1227" i="1"/>
  <c r="AT1227" i="1"/>
  <c r="Y1226" i="1"/>
  <c r="X1226" i="1"/>
  <c r="AX1226" i="1"/>
  <c r="AW1226" i="1"/>
  <c r="AV1226" i="1"/>
  <c r="AU1226" i="1"/>
  <c r="AT1226" i="1"/>
  <c r="Y1225" i="1"/>
  <c r="X1225" i="1"/>
  <c r="AX1225" i="1"/>
  <c r="AW1225" i="1"/>
  <c r="AV1225" i="1"/>
  <c r="AU1225" i="1"/>
  <c r="AT1225" i="1"/>
  <c r="Y1224" i="1"/>
  <c r="X1224" i="1"/>
  <c r="AX1224" i="1"/>
  <c r="AW1224" i="1"/>
  <c r="AV1224" i="1"/>
  <c r="AU1224" i="1"/>
  <c r="AT1224" i="1"/>
  <c r="Y1223" i="1"/>
  <c r="X1223" i="1"/>
  <c r="AX1223" i="1"/>
  <c r="AW1223" i="1"/>
  <c r="AV1223" i="1"/>
  <c r="AU1223" i="1"/>
  <c r="AT1223" i="1"/>
  <c r="Y1222" i="1"/>
  <c r="X1222" i="1"/>
  <c r="AX1222" i="1"/>
  <c r="AW1222" i="1"/>
  <c r="AV1222" i="1"/>
  <c r="AU1222" i="1"/>
  <c r="AT1222" i="1"/>
  <c r="Y1221" i="1"/>
  <c r="X1221" i="1"/>
  <c r="AX1221" i="1"/>
  <c r="AW1221" i="1"/>
  <c r="AV1221" i="1"/>
  <c r="AU1221" i="1"/>
  <c r="AT1221" i="1"/>
  <c r="Y1220" i="1"/>
  <c r="X1220" i="1"/>
  <c r="AX1220" i="1"/>
  <c r="AW1220" i="1"/>
  <c r="AV1220" i="1"/>
  <c r="AU1220" i="1"/>
  <c r="AT1220" i="1"/>
  <c r="Y1219" i="1"/>
  <c r="X1219" i="1"/>
  <c r="AX1219" i="1"/>
  <c r="AW1219" i="1"/>
  <c r="AV1219" i="1"/>
  <c r="AU1219" i="1"/>
  <c r="AT1219" i="1"/>
  <c r="Y1218" i="1"/>
  <c r="X1218" i="1"/>
  <c r="AX1218" i="1"/>
  <c r="AW1218" i="1"/>
  <c r="AV1218" i="1"/>
  <c r="AU1218" i="1"/>
  <c r="AT1218" i="1"/>
  <c r="Y1217" i="1"/>
  <c r="X1217" i="1"/>
  <c r="AX1217" i="1"/>
  <c r="AW1217" i="1"/>
  <c r="AV1217" i="1"/>
  <c r="AU1217" i="1"/>
  <c r="AT1217" i="1"/>
  <c r="Y1216" i="1"/>
  <c r="X1216" i="1"/>
  <c r="AX1216" i="1"/>
  <c r="AW1216" i="1"/>
  <c r="AV1216" i="1"/>
  <c r="AU1216" i="1"/>
  <c r="AT1216" i="1"/>
  <c r="Y1215" i="1"/>
  <c r="X1215" i="1"/>
  <c r="AX1215" i="1"/>
  <c r="AW1215" i="1"/>
  <c r="AV1215" i="1"/>
  <c r="AU1215" i="1"/>
  <c r="AT1215" i="1"/>
  <c r="A8" i="1"/>
  <c r="Y1212" i="1"/>
  <c r="X1212" i="1"/>
  <c r="AX1212" i="1"/>
  <c r="AW1212" i="1"/>
  <c r="AV1212" i="1"/>
  <c r="AU1212" i="1"/>
  <c r="AT1212" i="1"/>
  <c r="Y1211" i="1"/>
  <c r="X1211" i="1"/>
  <c r="AX1211" i="1"/>
  <c r="AW1211" i="1"/>
  <c r="AV1211" i="1"/>
  <c r="AU1211" i="1"/>
  <c r="AT1211" i="1"/>
  <c r="Y1210" i="1"/>
  <c r="X1210" i="1"/>
  <c r="AX1210" i="1"/>
  <c r="AW1210" i="1"/>
  <c r="AV1210" i="1"/>
  <c r="AU1210" i="1"/>
  <c r="AT1210" i="1"/>
  <c r="Y1209" i="1"/>
  <c r="X1209" i="1"/>
  <c r="AX1209" i="1"/>
  <c r="AW1209" i="1"/>
  <c r="AV1209" i="1"/>
  <c r="AU1209" i="1"/>
  <c r="AT1209" i="1"/>
  <c r="Y1208" i="1"/>
  <c r="X1208" i="1"/>
  <c r="AX1208" i="1"/>
  <c r="AW1208" i="1"/>
  <c r="AV1208" i="1"/>
  <c r="AU1208" i="1"/>
  <c r="AT1208" i="1"/>
  <c r="Y1207" i="1"/>
  <c r="X1207" i="1"/>
  <c r="AX1207" i="1"/>
  <c r="AW1207" i="1"/>
  <c r="AV1207" i="1"/>
  <c r="AU1207" i="1"/>
  <c r="AT1207" i="1"/>
  <c r="Y1206" i="1"/>
  <c r="X1206" i="1"/>
  <c r="AX1206" i="1"/>
  <c r="AW1206" i="1"/>
  <c r="AV1206" i="1"/>
  <c r="AU1206" i="1"/>
  <c r="AT1206" i="1"/>
  <c r="Y1204" i="1"/>
  <c r="X1204" i="1"/>
  <c r="AX1204" i="1"/>
  <c r="AW1204" i="1"/>
  <c r="AV1204" i="1"/>
  <c r="AU1204" i="1"/>
  <c r="AT1204" i="1"/>
  <c r="Y1203" i="1"/>
  <c r="X1203" i="1"/>
  <c r="AX1203" i="1"/>
  <c r="AW1203" i="1"/>
  <c r="AV1203" i="1"/>
  <c r="AU1203" i="1"/>
  <c r="AT1203" i="1"/>
  <c r="Y1202" i="1"/>
  <c r="X1202" i="1"/>
  <c r="AX1202" i="1"/>
  <c r="AW1202" i="1"/>
  <c r="AV1202" i="1"/>
  <c r="AU1202" i="1"/>
  <c r="AT1202" i="1"/>
  <c r="Y1201" i="1"/>
  <c r="X1201" i="1"/>
  <c r="AX1201" i="1"/>
  <c r="AW1201" i="1"/>
  <c r="AV1201" i="1"/>
  <c r="AU1201" i="1"/>
  <c r="AT1201" i="1"/>
  <c r="Y1200" i="1"/>
  <c r="X1200" i="1"/>
  <c r="AX1200" i="1"/>
  <c r="AW1200" i="1"/>
  <c r="AV1200" i="1"/>
  <c r="AU1200" i="1"/>
  <c r="AT1200" i="1"/>
  <c r="Y1199" i="1"/>
  <c r="X1199" i="1"/>
  <c r="AX1199" i="1"/>
  <c r="AW1199" i="1"/>
  <c r="AV1199" i="1"/>
  <c r="AU1199" i="1"/>
  <c r="AT1199" i="1"/>
  <c r="Y1198" i="1"/>
  <c r="X1198" i="1"/>
  <c r="AX1198" i="1"/>
  <c r="AW1198" i="1"/>
  <c r="AV1198" i="1"/>
  <c r="AU1198" i="1"/>
  <c r="AT1198" i="1"/>
  <c r="Y1197" i="1"/>
  <c r="X1197" i="1"/>
  <c r="AX1197" i="1"/>
  <c r="AW1197" i="1"/>
  <c r="AV1197" i="1"/>
  <c r="AU1197" i="1"/>
  <c r="AT1197" i="1"/>
  <c r="Y1196" i="1"/>
  <c r="X1196" i="1"/>
  <c r="AX1196" i="1"/>
  <c r="AW1196" i="1"/>
  <c r="AV1196" i="1"/>
  <c r="AU1196" i="1"/>
  <c r="AT1196" i="1"/>
  <c r="Y1195" i="1"/>
  <c r="X1195" i="1"/>
  <c r="AX1195" i="1"/>
  <c r="AW1195" i="1"/>
  <c r="AV1195" i="1"/>
  <c r="AU1195" i="1"/>
  <c r="AT1195" i="1"/>
  <c r="Y1194" i="1"/>
  <c r="X1194" i="1"/>
  <c r="AX1194" i="1"/>
  <c r="AW1194" i="1"/>
  <c r="AV1194" i="1"/>
  <c r="AU1194" i="1"/>
  <c r="AT1194" i="1"/>
  <c r="Y1193" i="1"/>
  <c r="X1193" i="1"/>
  <c r="AX1193" i="1"/>
  <c r="AW1193" i="1"/>
  <c r="AV1193" i="1"/>
  <c r="AU1193" i="1"/>
  <c r="AT1193" i="1"/>
  <c r="Y1192" i="1"/>
  <c r="X1192" i="1"/>
  <c r="AX1192" i="1"/>
  <c r="AW1192" i="1"/>
  <c r="AV1192" i="1"/>
  <c r="AU1192" i="1"/>
  <c r="AT1192" i="1"/>
  <c r="Y1191" i="1"/>
  <c r="X1191" i="1"/>
  <c r="AX1191" i="1"/>
  <c r="AW1191" i="1"/>
  <c r="AV1191" i="1"/>
  <c r="AU1191" i="1"/>
  <c r="AT1191" i="1"/>
  <c r="Y1190" i="1"/>
  <c r="X1190" i="1"/>
  <c r="AX1190" i="1"/>
  <c r="AW1190" i="1"/>
  <c r="AV1190" i="1"/>
  <c r="AU1190" i="1"/>
  <c r="AT1190" i="1"/>
  <c r="Y1189" i="1"/>
  <c r="X1189" i="1"/>
  <c r="AX1189" i="1"/>
  <c r="AW1189" i="1"/>
  <c r="AV1189" i="1"/>
  <c r="AU1189" i="1"/>
  <c r="AT1189" i="1"/>
  <c r="Y1188" i="1"/>
  <c r="X1188" i="1"/>
  <c r="AX1188" i="1"/>
  <c r="AW1188" i="1"/>
  <c r="AV1188" i="1"/>
  <c r="AU1188" i="1"/>
  <c r="AT1188" i="1"/>
  <c r="Y1187" i="1"/>
  <c r="X1187" i="1"/>
  <c r="AX1187" i="1"/>
  <c r="AW1187" i="1"/>
  <c r="AV1187" i="1"/>
  <c r="AU1187" i="1"/>
  <c r="AT1187" i="1"/>
  <c r="Y1186" i="1"/>
  <c r="X1186" i="1"/>
  <c r="AX1186" i="1"/>
  <c r="AW1186" i="1"/>
  <c r="AV1186" i="1"/>
  <c r="AU1186" i="1"/>
  <c r="AT1186" i="1"/>
  <c r="Y1185" i="1"/>
  <c r="X1185" i="1"/>
  <c r="AX1185" i="1"/>
  <c r="AW1185" i="1"/>
  <c r="AV1185" i="1"/>
  <c r="AU1185" i="1"/>
  <c r="AT1185" i="1"/>
  <c r="Y1184" i="1"/>
  <c r="X1184" i="1"/>
  <c r="AX1184" i="1"/>
  <c r="AW1184" i="1"/>
  <c r="AV1184" i="1"/>
  <c r="AU1184" i="1"/>
  <c r="AT1184" i="1"/>
  <c r="Y1182" i="1"/>
  <c r="X1182" i="1"/>
  <c r="AX1182" i="1"/>
  <c r="AW1182" i="1"/>
  <c r="AV1182" i="1"/>
  <c r="AU1182" i="1"/>
  <c r="AT1182" i="1"/>
  <c r="Y1180" i="1"/>
  <c r="X1180" i="1"/>
  <c r="AX1180" i="1"/>
  <c r="AW1180" i="1"/>
  <c r="AV1180" i="1"/>
  <c r="AU1180" i="1"/>
  <c r="AT1180" i="1"/>
  <c r="Y1178" i="1"/>
  <c r="X1178" i="1"/>
  <c r="AX1178" i="1"/>
  <c r="AW1178" i="1"/>
  <c r="AV1178" i="1"/>
  <c r="AU1178" i="1"/>
  <c r="AT1178" i="1"/>
  <c r="Y1177" i="1"/>
  <c r="X1177" i="1"/>
  <c r="AX1177" i="1"/>
  <c r="AW1177" i="1"/>
  <c r="AV1177" i="1"/>
  <c r="AU1177" i="1"/>
  <c r="AT1177" i="1"/>
  <c r="Y1176" i="1"/>
  <c r="X1176" i="1"/>
  <c r="AX1176" i="1"/>
  <c r="AW1176" i="1"/>
  <c r="AV1176" i="1"/>
  <c r="AU1176" i="1"/>
  <c r="AT1176" i="1"/>
  <c r="Y1175" i="1"/>
  <c r="X1175" i="1"/>
  <c r="AX1175" i="1"/>
  <c r="AW1175" i="1"/>
  <c r="AV1175" i="1"/>
  <c r="AU1175" i="1"/>
  <c r="AT1175" i="1"/>
  <c r="Y1174" i="1"/>
  <c r="X1174" i="1"/>
  <c r="AX1174" i="1"/>
  <c r="AW1174" i="1"/>
  <c r="AV1174" i="1"/>
  <c r="AU1174" i="1"/>
  <c r="AT1174" i="1"/>
  <c r="Y1173" i="1"/>
  <c r="X1173" i="1"/>
  <c r="AX1173" i="1"/>
  <c r="AW1173" i="1"/>
  <c r="AV1173" i="1"/>
  <c r="AU1173" i="1"/>
  <c r="AT1173" i="1"/>
  <c r="Y1172" i="1"/>
  <c r="X1172" i="1"/>
  <c r="AX1172" i="1"/>
  <c r="AW1172" i="1"/>
  <c r="AV1172" i="1"/>
  <c r="AU1172" i="1"/>
  <c r="AT1172" i="1"/>
  <c r="Y1171" i="1"/>
  <c r="X1171" i="1"/>
  <c r="AX1171" i="1"/>
  <c r="AW1171" i="1"/>
  <c r="AV1171" i="1"/>
  <c r="AU1171" i="1"/>
  <c r="AT1171" i="1"/>
  <c r="Y1170" i="1"/>
  <c r="X1170" i="1"/>
  <c r="AX1170" i="1"/>
  <c r="AW1170" i="1"/>
  <c r="AV1170" i="1"/>
  <c r="AU1170" i="1"/>
  <c r="AT1170" i="1"/>
  <c r="Y1169" i="1"/>
  <c r="X1169" i="1"/>
  <c r="AX1169" i="1"/>
  <c r="AW1169" i="1"/>
  <c r="AV1169" i="1"/>
  <c r="AU1169" i="1"/>
  <c r="AT1169" i="1"/>
  <c r="Y1168" i="1"/>
  <c r="X1168" i="1"/>
  <c r="AX1168" i="1"/>
  <c r="AW1168" i="1"/>
  <c r="AV1168" i="1"/>
  <c r="AU1168" i="1"/>
  <c r="AT1168" i="1"/>
  <c r="Y1167" i="1"/>
  <c r="X1167" i="1"/>
  <c r="AX1167" i="1"/>
  <c r="AW1167" i="1"/>
  <c r="AV1167" i="1"/>
  <c r="AU1167" i="1"/>
  <c r="AT1167" i="1"/>
  <c r="Y1166" i="1"/>
  <c r="X1166" i="1"/>
  <c r="AX1166" i="1"/>
  <c r="AW1166" i="1"/>
  <c r="AV1166" i="1"/>
  <c r="AU1166" i="1"/>
  <c r="AT1166" i="1"/>
  <c r="Y1165" i="1"/>
  <c r="X1165" i="1"/>
  <c r="AX1165" i="1"/>
  <c r="AW1165" i="1"/>
  <c r="AV1165" i="1"/>
  <c r="AU1165" i="1"/>
  <c r="AT1165" i="1"/>
  <c r="Y1164" i="1"/>
  <c r="X1164" i="1"/>
  <c r="AX1164" i="1"/>
  <c r="AW1164" i="1"/>
  <c r="AV1164" i="1"/>
  <c r="AU1164" i="1"/>
  <c r="AT1164" i="1"/>
  <c r="Y1163" i="1"/>
  <c r="X1163" i="1"/>
  <c r="AX1163" i="1"/>
  <c r="AW1163" i="1"/>
  <c r="AV1163" i="1"/>
  <c r="AU1163" i="1"/>
  <c r="AT1163" i="1"/>
  <c r="Y1161" i="1"/>
  <c r="X1161" i="1"/>
  <c r="AX1161" i="1"/>
  <c r="AW1161" i="1"/>
  <c r="AV1161" i="1"/>
  <c r="AU1161" i="1"/>
  <c r="AT1161" i="1"/>
  <c r="Y1160" i="1"/>
  <c r="X1160" i="1"/>
  <c r="AX1160" i="1"/>
  <c r="AW1160" i="1"/>
  <c r="AV1160" i="1"/>
  <c r="AU1160" i="1"/>
  <c r="AT1160" i="1"/>
  <c r="Y1159" i="1"/>
  <c r="X1159" i="1"/>
  <c r="AX1159" i="1"/>
  <c r="AW1159" i="1"/>
  <c r="AV1159" i="1"/>
  <c r="AU1159" i="1"/>
  <c r="AT1159" i="1"/>
  <c r="Y1158" i="1"/>
  <c r="X1158" i="1"/>
  <c r="AX1158" i="1"/>
  <c r="AW1158" i="1"/>
  <c r="AV1158" i="1"/>
  <c r="AU1158" i="1"/>
  <c r="AT1158" i="1"/>
  <c r="Y1157" i="1"/>
  <c r="X1157" i="1"/>
  <c r="AX1157" i="1"/>
  <c r="AW1157" i="1"/>
  <c r="AV1157" i="1"/>
  <c r="AU1157" i="1"/>
  <c r="AT1157" i="1"/>
  <c r="Y1156" i="1"/>
  <c r="X1156" i="1"/>
  <c r="AX1156" i="1"/>
  <c r="AW1156" i="1"/>
  <c r="AV1156" i="1"/>
  <c r="AU1156" i="1"/>
  <c r="AT1156" i="1"/>
  <c r="Y1155" i="1"/>
  <c r="X1155" i="1"/>
  <c r="AX1155" i="1"/>
  <c r="AW1155" i="1"/>
  <c r="AV1155" i="1"/>
  <c r="AU1155" i="1"/>
  <c r="AT1155" i="1"/>
  <c r="Y1154" i="1"/>
  <c r="X1154" i="1"/>
  <c r="AX1154" i="1"/>
  <c r="AW1154" i="1"/>
  <c r="AV1154" i="1"/>
  <c r="AU1154" i="1"/>
  <c r="AT1154" i="1"/>
  <c r="Y1153" i="1"/>
  <c r="X1153" i="1"/>
  <c r="AX1153" i="1"/>
  <c r="AW1153" i="1"/>
  <c r="AV1153" i="1"/>
  <c r="AU1153" i="1"/>
  <c r="AT1153" i="1"/>
  <c r="Y1152" i="1"/>
  <c r="X1152" i="1"/>
  <c r="AX1152" i="1"/>
  <c r="AW1152" i="1"/>
  <c r="AV1152" i="1"/>
  <c r="AU1152" i="1"/>
  <c r="AT1152" i="1"/>
  <c r="Y1151" i="1"/>
  <c r="X1151" i="1"/>
  <c r="AX1151" i="1"/>
  <c r="AW1151" i="1"/>
  <c r="AV1151" i="1"/>
  <c r="AU1151" i="1"/>
  <c r="AT1151" i="1"/>
  <c r="Y1150" i="1"/>
  <c r="X1150" i="1"/>
  <c r="AX1150" i="1"/>
  <c r="AW1150" i="1"/>
  <c r="AV1150" i="1"/>
  <c r="AU1150" i="1"/>
  <c r="AT1150" i="1"/>
  <c r="Y1149" i="1"/>
  <c r="X1149" i="1"/>
  <c r="AX1149" i="1"/>
  <c r="AW1149" i="1"/>
  <c r="AV1149" i="1"/>
  <c r="AU1149" i="1"/>
  <c r="AT1149" i="1"/>
  <c r="Y1148" i="1"/>
  <c r="X1148" i="1"/>
  <c r="AX1148" i="1"/>
  <c r="AW1148" i="1"/>
  <c r="AV1148" i="1"/>
  <c r="AU1148" i="1"/>
  <c r="AT1148" i="1"/>
  <c r="Y1147" i="1"/>
  <c r="X1147" i="1"/>
  <c r="AX1147" i="1"/>
  <c r="AW1147" i="1"/>
  <c r="AV1147" i="1"/>
  <c r="AU1147" i="1"/>
  <c r="AT1147" i="1"/>
  <c r="Y1145" i="1"/>
  <c r="X1145" i="1"/>
  <c r="AX1145" i="1"/>
  <c r="AW1145" i="1"/>
  <c r="AV1145" i="1"/>
  <c r="AU1145" i="1"/>
  <c r="AT1145" i="1"/>
  <c r="Y1143" i="1"/>
  <c r="X1143" i="1"/>
  <c r="AX1143" i="1"/>
  <c r="AW1143" i="1"/>
  <c r="AV1143" i="1"/>
  <c r="AU1143" i="1"/>
  <c r="AT1143" i="1"/>
  <c r="Y1142" i="1"/>
  <c r="X1142" i="1"/>
  <c r="AX1142" i="1"/>
  <c r="AW1142" i="1"/>
  <c r="AV1142" i="1"/>
  <c r="AU1142" i="1"/>
  <c r="AT1142" i="1"/>
  <c r="Y1141" i="1"/>
  <c r="X1141" i="1"/>
  <c r="AX1141" i="1"/>
  <c r="AW1141" i="1"/>
  <c r="AV1141" i="1"/>
  <c r="AU1141" i="1"/>
  <c r="AT1141" i="1"/>
  <c r="Y1140" i="1"/>
  <c r="X1140" i="1"/>
  <c r="AX1140" i="1"/>
  <c r="AW1140" i="1"/>
  <c r="AV1140" i="1"/>
  <c r="AU1140" i="1"/>
  <c r="AT1140" i="1"/>
  <c r="Y1139" i="1"/>
  <c r="X1139" i="1"/>
  <c r="AX1139" i="1"/>
  <c r="AW1139" i="1"/>
  <c r="AV1139" i="1"/>
  <c r="AU1139" i="1"/>
  <c r="AT1139" i="1"/>
  <c r="Y1138" i="1"/>
  <c r="X1138" i="1"/>
  <c r="AX1138" i="1"/>
  <c r="AW1138" i="1"/>
  <c r="AV1138" i="1"/>
  <c r="AU1138" i="1"/>
  <c r="AT1138" i="1"/>
  <c r="Y1137" i="1"/>
  <c r="X1137" i="1"/>
  <c r="AX1137" i="1"/>
  <c r="AW1137" i="1"/>
  <c r="AV1137" i="1"/>
  <c r="AU1137" i="1"/>
  <c r="AT1137" i="1"/>
  <c r="Y1136" i="1"/>
  <c r="X1136" i="1"/>
  <c r="AX1136" i="1"/>
  <c r="AW1136" i="1"/>
  <c r="AV1136" i="1"/>
  <c r="AU1136" i="1"/>
  <c r="AT1136" i="1"/>
  <c r="Y1135" i="1"/>
  <c r="X1135" i="1"/>
  <c r="AX1135" i="1"/>
  <c r="AW1135" i="1"/>
  <c r="AV1135" i="1"/>
  <c r="AU1135" i="1"/>
  <c r="AT1135" i="1"/>
  <c r="Y1134" i="1"/>
  <c r="X1134" i="1"/>
  <c r="AX1134" i="1"/>
  <c r="AW1134" i="1"/>
  <c r="AV1134" i="1"/>
  <c r="AU1134" i="1"/>
  <c r="AT1134" i="1"/>
  <c r="Y1133" i="1"/>
  <c r="X1133" i="1"/>
  <c r="AX1133" i="1"/>
  <c r="AW1133" i="1"/>
  <c r="AV1133" i="1"/>
  <c r="AU1133" i="1"/>
  <c r="AT1133" i="1"/>
  <c r="Y1132" i="1"/>
  <c r="X1132" i="1"/>
  <c r="AX1132" i="1"/>
  <c r="AW1132" i="1"/>
  <c r="AV1132" i="1"/>
  <c r="AU1132" i="1"/>
  <c r="AT1132" i="1"/>
  <c r="Y1131" i="1"/>
  <c r="X1131" i="1"/>
  <c r="AX1131" i="1"/>
  <c r="AW1131" i="1"/>
  <c r="AV1131" i="1"/>
  <c r="AU1131" i="1"/>
  <c r="AT1131" i="1"/>
  <c r="Y1130" i="1"/>
  <c r="X1130" i="1"/>
  <c r="AX1130" i="1"/>
  <c r="AW1130" i="1"/>
  <c r="AV1130" i="1"/>
  <c r="AU1130" i="1"/>
  <c r="AT1130" i="1"/>
  <c r="Y1129" i="1"/>
  <c r="X1129" i="1"/>
  <c r="AX1129" i="1"/>
  <c r="AW1129" i="1"/>
  <c r="AV1129" i="1"/>
  <c r="AU1129" i="1"/>
  <c r="AT1129" i="1"/>
  <c r="Y1128" i="1"/>
  <c r="X1128" i="1"/>
  <c r="AX1128" i="1"/>
  <c r="AW1128" i="1"/>
  <c r="AV1128" i="1"/>
  <c r="AU1128" i="1"/>
  <c r="AT1128" i="1"/>
  <c r="Y1127" i="1"/>
  <c r="X1127" i="1"/>
  <c r="AX1127" i="1"/>
  <c r="AW1127" i="1"/>
  <c r="AV1127" i="1"/>
  <c r="AU1127" i="1"/>
  <c r="AT1127" i="1"/>
  <c r="Y1126" i="1"/>
  <c r="X1126" i="1"/>
  <c r="AX1126" i="1"/>
  <c r="AW1126" i="1"/>
  <c r="AV1126" i="1"/>
  <c r="AU1126" i="1"/>
  <c r="AT1126" i="1"/>
  <c r="Y1125" i="1"/>
  <c r="X1125" i="1"/>
  <c r="AX1125" i="1"/>
  <c r="AW1125" i="1"/>
  <c r="AV1125" i="1"/>
  <c r="AU1125" i="1"/>
  <c r="AT1125" i="1"/>
  <c r="Y1124" i="1"/>
  <c r="X1124" i="1"/>
  <c r="AX1124" i="1"/>
  <c r="AW1124" i="1"/>
  <c r="AV1124" i="1"/>
  <c r="AU1124" i="1"/>
  <c r="AT1124" i="1"/>
  <c r="Y1123" i="1"/>
  <c r="X1123" i="1"/>
  <c r="AX1123" i="1"/>
  <c r="AW1123" i="1"/>
  <c r="AV1123" i="1"/>
  <c r="AU1123" i="1"/>
  <c r="AT1123" i="1"/>
  <c r="Y1122" i="1"/>
  <c r="X1122" i="1"/>
  <c r="AX1122" i="1"/>
  <c r="AW1122" i="1"/>
  <c r="AV1122" i="1"/>
  <c r="AU1122" i="1"/>
  <c r="AT1122" i="1"/>
  <c r="Y1120" i="1"/>
  <c r="X1120" i="1"/>
  <c r="AX1120" i="1"/>
  <c r="AW1120" i="1"/>
  <c r="AV1120" i="1"/>
  <c r="AU1120" i="1"/>
  <c r="AT1120" i="1"/>
  <c r="Y1119" i="1"/>
  <c r="X1119" i="1"/>
  <c r="AX1119" i="1"/>
  <c r="AW1119" i="1"/>
  <c r="AV1119" i="1"/>
  <c r="AU1119" i="1"/>
  <c r="AT1119" i="1"/>
  <c r="Y1118" i="1"/>
  <c r="X1118" i="1"/>
  <c r="AX1118" i="1"/>
  <c r="AW1118" i="1"/>
  <c r="AV1118" i="1"/>
  <c r="AU1118" i="1"/>
  <c r="AT1118" i="1"/>
  <c r="Y1117" i="1"/>
  <c r="X1117" i="1"/>
  <c r="AX1117" i="1"/>
  <c r="AW1117" i="1"/>
  <c r="AV1117" i="1"/>
  <c r="AU1117" i="1"/>
  <c r="AT1117" i="1"/>
  <c r="Y1116" i="1"/>
  <c r="X1116" i="1"/>
  <c r="AX1116" i="1"/>
  <c r="AW1116" i="1"/>
  <c r="AV1116" i="1"/>
  <c r="AU1116" i="1"/>
  <c r="AT1116" i="1"/>
  <c r="Y1115" i="1"/>
  <c r="X1115" i="1"/>
  <c r="AX1115" i="1"/>
  <c r="AW1115" i="1"/>
  <c r="AV1115" i="1"/>
  <c r="AU1115" i="1"/>
  <c r="AT1115" i="1"/>
  <c r="Y1114" i="1"/>
  <c r="X1114" i="1"/>
  <c r="AX1114" i="1"/>
  <c r="AW1114" i="1"/>
  <c r="AV1114" i="1"/>
  <c r="AU1114" i="1"/>
  <c r="AT1114" i="1"/>
  <c r="Y1113" i="1"/>
  <c r="X1113" i="1"/>
  <c r="AX1113" i="1"/>
  <c r="AW1113" i="1"/>
  <c r="AV1113" i="1"/>
  <c r="AU1113" i="1"/>
  <c r="AT1113" i="1"/>
  <c r="Y1112" i="1"/>
  <c r="X1112" i="1"/>
  <c r="AX1112" i="1"/>
  <c r="AW1112" i="1"/>
  <c r="AV1112" i="1"/>
  <c r="AU1112" i="1"/>
  <c r="AT1112" i="1"/>
  <c r="Y1111" i="1"/>
  <c r="X1111" i="1"/>
  <c r="AX1111" i="1"/>
  <c r="AW1111" i="1"/>
  <c r="AV1111" i="1"/>
  <c r="AU1111" i="1"/>
  <c r="AT1111" i="1"/>
  <c r="Y1110" i="1"/>
  <c r="X1110" i="1"/>
  <c r="AX1110" i="1"/>
  <c r="AW1110" i="1"/>
  <c r="AV1110" i="1"/>
  <c r="AU1110" i="1"/>
  <c r="AT1110" i="1"/>
  <c r="Y1109" i="1"/>
  <c r="X1109" i="1"/>
  <c r="AX1109" i="1"/>
  <c r="AW1109" i="1"/>
  <c r="AV1109" i="1"/>
  <c r="AU1109" i="1"/>
  <c r="AT1109" i="1"/>
  <c r="Y1108" i="1"/>
  <c r="X1108" i="1"/>
  <c r="AX1108" i="1"/>
  <c r="AW1108" i="1"/>
  <c r="AV1108" i="1"/>
  <c r="AU1108" i="1"/>
  <c r="AT1108" i="1"/>
  <c r="Y1107" i="1"/>
  <c r="X1107" i="1"/>
  <c r="AX1107" i="1"/>
  <c r="AW1107" i="1"/>
  <c r="AV1107" i="1"/>
  <c r="AU1107" i="1"/>
  <c r="AT1107" i="1"/>
  <c r="Y1106" i="1"/>
  <c r="X1106" i="1"/>
  <c r="AX1106" i="1"/>
  <c r="AW1106" i="1"/>
  <c r="AV1106" i="1"/>
  <c r="AU1106" i="1"/>
  <c r="AT1106" i="1"/>
  <c r="Y1105" i="1"/>
  <c r="X1105" i="1"/>
  <c r="AX1105" i="1"/>
  <c r="AW1105" i="1"/>
  <c r="AV1105" i="1"/>
  <c r="AU1105" i="1"/>
  <c r="AT1105" i="1"/>
  <c r="Y1104" i="1"/>
  <c r="X1104" i="1"/>
  <c r="AX1104" i="1"/>
  <c r="AW1104" i="1"/>
  <c r="AV1104" i="1"/>
  <c r="AU1104" i="1"/>
  <c r="AT1104" i="1"/>
  <c r="Y1103" i="1"/>
  <c r="X1103" i="1"/>
  <c r="AX1103" i="1"/>
  <c r="AW1103" i="1"/>
  <c r="AV1103" i="1"/>
  <c r="AU1103" i="1"/>
  <c r="AT1103" i="1"/>
  <c r="Y1102" i="1"/>
  <c r="X1102" i="1"/>
  <c r="AX1102" i="1"/>
  <c r="AW1102" i="1"/>
  <c r="AV1102" i="1"/>
  <c r="AU1102" i="1"/>
  <c r="AT1102" i="1"/>
  <c r="Y1101" i="1"/>
  <c r="X1101" i="1"/>
  <c r="AX1101" i="1"/>
  <c r="AW1101" i="1"/>
  <c r="AV1101" i="1"/>
  <c r="AU1101" i="1"/>
  <c r="AT1101" i="1"/>
  <c r="Y1100" i="1"/>
  <c r="X1100" i="1"/>
  <c r="AX1100" i="1"/>
  <c r="AW1100" i="1"/>
  <c r="AV1100" i="1"/>
  <c r="AU1100" i="1"/>
  <c r="AT1100" i="1"/>
  <c r="Y1099" i="1"/>
  <c r="X1099" i="1"/>
  <c r="AX1099" i="1"/>
  <c r="AW1099" i="1"/>
  <c r="AV1099" i="1"/>
  <c r="AU1099" i="1"/>
  <c r="AT1099" i="1"/>
  <c r="Y1098" i="1"/>
  <c r="X1098" i="1"/>
  <c r="AX1098" i="1"/>
  <c r="AW1098" i="1"/>
  <c r="AV1098" i="1"/>
  <c r="AU1098" i="1"/>
  <c r="AT1098" i="1"/>
  <c r="Y1097" i="1"/>
  <c r="X1097" i="1"/>
  <c r="AX1097" i="1"/>
  <c r="AW1097" i="1"/>
  <c r="AV1097" i="1"/>
  <c r="AU1097" i="1"/>
  <c r="AT1097" i="1"/>
  <c r="Y1096" i="1"/>
  <c r="X1096" i="1"/>
  <c r="AX1096" i="1"/>
  <c r="AW1096" i="1"/>
  <c r="AV1096" i="1"/>
  <c r="AU1096" i="1"/>
  <c r="AT1096" i="1"/>
  <c r="Y1095" i="1"/>
  <c r="X1095" i="1"/>
  <c r="AX1095" i="1"/>
  <c r="AW1095" i="1"/>
  <c r="AV1095" i="1"/>
  <c r="AU1095" i="1"/>
  <c r="AT1095" i="1"/>
  <c r="Y1094" i="1"/>
  <c r="X1094" i="1"/>
  <c r="AX1094" i="1"/>
  <c r="AW1094" i="1"/>
  <c r="AV1094" i="1"/>
  <c r="AU1094" i="1"/>
  <c r="AT1094" i="1"/>
  <c r="Y1093" i="1"/>
  <c r="X1093" i="1"/>
  <c r="AX1093" i="1"/>
  <c r="AW1093" i="1"/>
  <c r="AV1093" i="1"/>
  <c r="AU1093" i="1"/>
  <c r="AT1093" i="1"/>
  <c r="Y1092" i="1"/>
  <c r="X1092" i="1"/>
  <c r="AX1092" i="1"/>
  <c r="AW1092" i="1"/>
  <c r="AV1092" i="1"/>
  <c r="AU1092" i="1"/>
  <c r="AT1092" i="1"/>
  <c r="Y1091" i="1"/>
  <c r="X1091" i="1"/>
  <c r="AX1091" i="1"/>
  <c r="AW1091" i="1"/>
  <c r="AV1091" i="1"/>
  <c r="AU1091" i="1"/>
  <c r="AT1091" i="1"/>
  <c r="Y1090" i="1"/>
  <c r="X1090" i="1"/>
  <c r="AX1090" i="1"/>
  <c r="AW1090" i="1"/>
  <c r="AV1090" i="1"/>
  <c r="AU1090" i="1"/>
  <c r="AT1090" i="1"/>
  <c r="Y1089" i="1"/>
  <c r="X1089" i="1"/>
  <c r="AX1089" i="1"/>
  <c r="AW1089" i="1"/>
  <c r="AV1089" i="1"/>
  <c r="AU1089" i="1"/>
  <c r="AT1089" i="1"/>
  <c r="Y1088" i="1"/>
  <c r="X1088" i="1"/>
  <c r="AX1088" i="1"/>
  <c r="AW1088" i="1"/>
  <c r="AV1088" i="1"/>
  <c r="AU1088" i="1"/>
  <c r="AT1088" i="1"/>
  <c r="Y1087" i="1"/>
  <c r="X1087" i="1"/>
  <c r="AX1087" i="1"/>
  <c r="AW1087" i="1"/>
  <c r="AV1087" i="1"/>
  <c r="AU1087" i="1"/>
  <c r="AT1087" i="1"/>
  <c r="Y1086" i="1"/>
  <c r="X1086" i="1"/>
  <c r="AX1086" i="1"/>
  <c r="AW1086" i="1"/>
  <c r="AV1086" i="1"/>
  <c r="AU1086" i="1"/>
  <c r="AT1086" i="1"/>
  <c r="Y1084" i="1"/>
  <c r="X1084" i="1"/>
  <c r="AX1084" i="1"/>
  <c r="AW1084" i="1"/>
  <c r="AV1084" i="1"/>
  <c r="AU1084" i="1"/>
  <c r="AT1084" i="1"/>
  <c r="Y1083" i="1"/>
  <c r="X1083" i="1"/>
  <c r="AX1083" i="1"/>
  <c r="AW1083" i="1"/>
  <c r="AV1083" i="1"/>
  <c r="AU1083" i="1"/>
  <c r="AT1083" i="1"/>
  <c r="Y1082" i="1"/>
  <c r="X1082" i="1"/>
  <c r="AX1082" i="1"/>
  <c r="AW1082" i="1"/>
  <c r="AV1082" i="1"/>
  <c r="AU1082" i="1"/>
  <c r="AT1082" i="1"/>
  <c r="Y1081" i="1"/>
  <c r="X1081" i="1"/>
  <c r="AX1081" i="1"/>
  <c r="AW1081" i="1"/>
  <c r="AV1081" i="1"/>
  <c r="AU1081" i="1"/>
  <c r="AT1081" i="1"/>
  <c r="Y1080" i="1"/>
  <c r="X1080" i="1"/>
  <c r="AX1080" i="1"/>
  <c r="AW1080" i="1"/>
  <c r="AV1080" i="1"/>
  <c r="AU1080" i="1"/>
  <c r="AT1080" i="1"/>
  <c r="Y1079" i="1"/>
  <c r="X1079" i="1"/>
  <c r="AX1079" i="1"/>
  <c r="AW1079" i="1"/>
  <c r="AV1079" i="1"/>
  <c r="AU1079" i="1"/>
  <c r="AT1079" i="1"/>
  <c r="Y1078" i="1"/>
  <c r="X1078" i="1"/>
  <c r="AX1078" i="1"/>
  <c r="AW1078" i="1"/>
  <c r="AV1078" i="1"/>
  <c r="AU1078" i="1"/>
  <c r="AT1078" i="1"/>
  <c r="Y1077" i="1"/>
  <c r="X1077" i="1"/>
  <c r="AX1077" i="1"/>
  <c r="AW1077" i="1"/>
  <c r="AV1077" i="1"/>
  <c r="AU1077" i="1"/>
  <c r="AT1077" i="1"/>
  <c r="Y1076" i="1"/>
  <c r="X1076" i="1"/>
  <c r="AX1076" i="1"/>
  <c r="AW1076" i="1"/>
  <c r="AV1076" i="1"/>
  <c r="AU1076" i="1"/>
  <c r="AT1076" i="1"/>
  <c r="Y1075" i="1"/>
  <c r="X1075" i="1"/>
  <c r="AX1075" i="1"/>
  <c r="AW1075" i="1"/>
  <c r="AV1075" i="1"/>
  <c r="AU1075" i="1"/>
  <c r="AT1075" i="1"/>
  <c r="Y1073" i="1"/>
  <c r="X1073" i="1"/>
  <c r="AX1073" i="1"/>
  <c r="AW1073" i="1"/>
  <c r="AV1073" i="1"/>
  <c r="AU1073" i="1"/>
  <c r="AT1073" i="1"/>
  <c r="Y1072" i="1"/>
  <c r="X1072" i="1"/>
  <c r="AX1072" i="1"/>
  <c r="AW1072" i="1"/>
  <c r="AV1072" i="1"/>
  <c r="AU1072" i="1"/>
  <c r="AT1072" i="1"/>
  <c r="Y1071" i="1"/>
  <c r="X1071" i="1"/>
  <c r="AX1071" i="1"/>
  <c r="AW1071" i="1"/>
  <c r="AV1071" i="1"/>
  <c r="AU1071" i="1"/>
  <c r="AT1071" i="1"/>
  <c r="Y1070" i="1"/>
  <c r="X1070" i="1"/>
  <c r="AX1070" i="1"/>
  <c r="AW1070" i="1"/>
  <c r="AV1070" i="1"/>
  <c r="AU1070" i="1"/>
  <c r="AT1070" i="1"/>
  <c r="Y1069" i="1"/>
  <c r="X1069" i="1"/>
  <c r="AX1069" i="1"/>
  <c r="AW1069" i="1"/>
  <c r="AV1069" i="1"/>
  <c r="AU1069" i="1"/>
  <c r="AT1069" i="1"/>
  <c r="Y1068" i="1"/>
  <c r="X1068" i="1"/>
  <c r="AX1068" i="1"/>
  <c r="AW1068" i="1"/>
  <c r="AV1068" i="1"/>
  <c r="AU1068" i="1"/>
  <c r="AT1068" i="1"/>
  <c r="Y1067" i="1"/>
  <c r="X1067" i="1"/>
  <c r="AX1067" i="1"/>
  <c r="AW1067" i="1"/>
  <c r="AV1067" i="1"/>
  <c r="AU1067" i="1"/>
  <c r="AT1067" i="1"/>
  <c r="Y1066" i="1"/>
  <c r="X1066" i="1"/>
  <c r="AX1066" i="1"/>
  <c r="AW1066" i="1"/>
  <c r="AV1066" i="1"/>
  <c r="AU1066" i="1"/>
  <c r="AT1066" i="1"/>
  <c r="Y1065" i="1"/>
  <c r="X1065" i="1"/>
  <c r="AX1065" i="1"/>
  <c r="AW1065" i="1"/>
  <c r="AV1065" i="1"/>
  <c r="AU1065" i="1"/>
  <c r="AT1065" i="1"/>
  <c r="Y1064" i="1"/>
  <c r="X1064" i="1"/>
  <c r="AX1064" i="1"/>
  <c r="AW1064" i="1"/>
  <c r="AV1064" i="1"/>
  <c r="AU1064" i="1"/>
  <c r="AT1064" i="1"/>
  <c r="Y1063" i="1"/>
  <c r="X1063" i="1"/>
  <c r="AX1063" i="1"/>
  <c r="AW1063" i="1"/>
  <c r="AV1063" i="1"/>
  <c r="AU1063" i="1"/>
  <c r="AT1063" i="1"/>
  <c r="Y1062" i="1"/>
  <c r="X1062" i="1"/>
  <c r="AX1062" i="1"/>
  <c r="AW1062" i="1"/>
  <c r="AV1062" i="1"/>
  <c r="AU1062" i="1"/>
  <c r="AT1062" i="1"/>
  <c r="Y1061" i="1"/>
  <c r="X1061" i="1"/>
  <c r="AX1061" i="1"/>
  <c r="AW1061" i="1"/>
  <c r="AV1061" i="1"/>
  <c r="AU1061" i="1"/>
  <c r="AT1061" i="1"/>
  <c r="Y1060" i="1"/>
  <c r="X1060" i="1"/>
  <c r="AX1060" i="1"/>
  <c r="AW1060" i="1"/>
  <c r="AV1060" i="1"/>
  <c r="AU1060" i="1"/>
  <c r="AT1060" i="1"/>
  <c r="Y1059" i="1"/>
  <c r="X1059" i="1"/>
  <c r="AX1059" i="1"/>
  <c r="AW1059" i="1"/>
  <c r="AV1059" i="1"/>
  <c r="AU1059" i="1"/>
  <c r="AT1059" i="1"/>
  <c r="Y1058" i="1"/>
  <c r="X1058" i="1"/>
  <c r="AX1058" i="1"/>
  <c r="AW1058" i="1"/>
  <c r="AV1058" i="1"/>
  <c r="AU1058" i="1"/>
  <c r="AT1058" i="1"/>
  <c r="Y1057" i="1"/>
  <c r="X1057" i="1"/>
  <c r="AX1057" i="1"/>
  <c r="AW1057" i="1"/>
  <c r="AV1057" i="1"/>
  <c r="AU1057" i="1"/>
  <c r="AT1057" i="1"/>
  <c r="Y1056" i="1"/>
  <c r="X1056" i="1"/>
  <c r="AX1056" i="1"/>
  <c r="AW1056" i="1"/>
  <c r="AV1056" i="1"/>
  <c r="AU1056" i="1"/>
  <c r="AT1056" i="1"/>
  <c r="Y1055" i="1"/>
  <c r="X1055" i="1"/>
  <c r="AX1055" i="1"/>
  <c r="AW1055" i="1"/>
  <c r="AV1055" i="1"/>
  <c r="AU1055" i="1"/>
  <c r="AT1055" i="1"/>
  <c r="Y1054" i="1"/>
  <c r="X1054" i="1"/>
  <c r="AX1054" i="1"/>
  <c r="AW1054" i="1"/>
  <c r="AV1054" i="1"/>
  <c r="AU1054" i="1"/>
  <c r="AT1054" i="1"/>
  <c r="Y1053" i="1"/>
  <c r="X1053" i="1"/>
  <c r="AX1053" i="1"/>
  <c r="AW1053" i="1"/>
  <c r="AV1053" i="1"/>
  <c r="AU1053" i="1"/>
  <c r="AT1053" i="1"/>
  <c r="Y1052" i="1"/>
  <c r="X1052" i="1"/>
  <c r="AX1052" i="1"/>
  <c r="AW1052" i="1"/>
  <c r="AV1052" i="1"/>
  <c r="AU1052" i="1"/>
  <c r="AT1052" i="1"/>
  <c r="Y1051" i="1"/>
  <c r="X1051" i="1"/>
  <c r="AX1051" i="1"/>
  <c r="AW1051" i="1"/>
  <c r="AV1051" i="1"/>
  <c r="AU1051" i="1"/>
  <c r="AT1051" i="1"/>
  <c r="Y1050" i="1"/>
  <c r="X1050" i="1"/>
  <c r="AX1050" i="1"/>
  <c r="AW1050" i="1"/>
  <c r="AV1050" i="1"/>
  <c r="AU1050" i="1"/>
  <c r="AT1050" i="1"/>
  <c r="Y1049" i="1"/>
  <c r="X1049" i="1"/>
  <c r="AX1049" i="1"/>
  <c r="AW1049" i="1"/>
  <c r="AV1049" i="1"/>
  <c r="AU1049" i="1"/>
  <c r="AT1049" i="1"/>
  <c r="Y1048" i="1"/>
  <c r="X1048" i="1"/>
  <c r="AX1048" i="1"/>
  <c r="AW1048" i="1"/>
  <c r="AV1048" i="1"/>
  <c r="AU1048" i="1"/>
  <c r="AT1048" i="1"/>
  <c r="Y1047" i="1"/>
  <c r="X1047" i="1"/>
  <c r="AX1047" i="1"/>
  <c r="AW1047" i="1"/>
  <c r="AV1047" i="1"/>
  <c r="AU1047" i="1"/>
  <c r="AT1047" i="1"/>
  <c r="Y1046" i="1"/>
  <c r="X1046" i="1"/>
  <c r="AX1046" i="1"/>
  <c r="AW1046" i="1"/>
  <c r="AV1046" i="1"/>
  <c r="AU1046" i="1"/>
  <c r="AT1046" i="1"/>
  <c r="Y1045" i="1"/>
  <c r="X1045" i="1"/>
  <c r="AX1045" i="1"/>
  <c r="AW1045" i="1"/>
  <c r="AV1045" i="1"/>
  <c r="AU1045" i="1"/>
  <c r="AT1045" i="1"/>
  <c r="Y1044" i="1"/>
  <c r="X1044" i="1"/>
  <c r="AX1044" i="1"/>
  <c r="AW1044" i="1"/>
  <c r="AV1044" i="1"/>
  <c r="AU1044" i="1"/>
  <c r="AT1044" i="1"/>
  <c r="Y1043" i="1"/>
  <c r="X1043" i="1"/>
  <c r="AX1043" i="1"/>
  <c r="AW1043" i="1"/>
  <c r="AV1043" i="1"/>
  <c r="AU1043" i="1"/>
  <c r="AT1043" i="1"/>
  <c r="Y1042" i="1"/>
  <c r="X1042" i="1"/>
  <c r="AX1042" i="1"/>
  <c r="AW1042" i="1"/>
  <c r="AV1042" i="1"/>
  <c r="AU1042" i="1"/>
  <c r="AT1042" i="1"/>
  <c r="Y1041" i="1"/>
  <c r="X1041" i="1"/>
  <c r="AX1041" i="1"/>
  <c r="AW1041" i="1"/>
  <c r="AV1041" i="1"/>
  <c r="AU1041" i="1"/>
  <c r="AT1041" i="1"/>
  <c r="Y1040" i="1"/>
  <c r="X1040" i="1"/>
  <c r="AX1040" i="1"/>
  <c r="AW1040" i="1"/>
  <c r="AV1040" i="1"/>
  <c r="AU1040" i="1"/>
  <c r="AT1040" i="1"/>
  <c r="Y1039" i="1"/>
  <c r="X1039" i="1"/>
  <c r="AX1039" i="1"/>
  <c r="AW1039" i="1"/>
  <c r="AV1039" i="1"/>
  <c r="AU1039" i="1"/>
  <c r="AT1039" i="1"/>
  <c r="Y1038" i="1"/>
  <c r="X1038" i="1"/>
  <c r="AX1038" i="1"/>
  <c r="AW1038" i="1"/>
  <c r="AV1038" i="1"/>
  <c r="AU1038" i="1"/>
  <c r="AT1038" i="1"/>
  <c r="Y1036" i="1"/>
  <c r="X1036" i="1"/>
  <c r="AX1036" i="1"/>
  <c r="AW1036" i="1"/>
  <c r="AV1036" i="1"/>
  <c r="AU1036" i="1"/>
  <c r="AT1036" i="1"/>
  <c r="Y1035" i="1"/>
  <c r="X1035" i="1"/>
  <c r="AX1035" i="1"/>
  <c r="AW1035" i="1"/>
  <c r="AV1035" i="1"/>
  <c r="AU1035" i="1"/>
  <c r="AT1035" i="1"/>
  <c r="Y1034" i="1"/>
  <c r="X1034" i="1"/>
  <c r="AX1034" i="1"/>
  <c r="AW1034" i="1"/>
  <c r="AV1034" i="1"/>
  <c r="AU1034" i="1"/>
  <c r="AT1034" i="1"/>
  <c r="Y1033" i="1"/>
  <c r="X1033" i="1"/>
  <c r="AX1033" i="1"/>
  <c r="AW1033" i="1"/>
  <c r="AV1033" i="1"/>
  <c r="AU1033" i="1"/>
  <c r="AT1033" i="1"/>
  <c r="Y1032" i="1"/>
  <c r="X1032" i="1"/>
  <c r="AX1032" i="1"/>
  <c r="AW1032" i="1"/>
  <c r="AV1032" i="1"/>
  <c r="AU1032" i="1"/>
  <c r="AT1032" i="1"/>
  <c r="Y1031" i="1"/>
  <c r="X1031" i="1"/>
  <c r="AX1031" i="1"/>
  <c r="AW1031" i="1"/>
  <c r="AV1031" i="1"/>
  <c r="AU1031" i="1"/>
  <c r="AT1031" i="1"/>
  <c r="Y1030" i="1"/>
  <c r="X1030" i="1"/>
  <c r="AX1030" i="1"/>
  <c r="AW1030" i="1"/>
  <c r="AV1030" i="1"/>
  <c r="AU1030" i="1"/>
  <c r="AT1030" i="1"/>
  <c r="Y1029" i="1"/>
  <c r="X1029" i="1"/>
  <c r="AX1029" i="1"/>
  <c r="AW1029" i="1"/>
  <c r="AV1029" i="1"/>
  <c r="AU1029" i="1"/>
  <c r="AT1029" i="1"/>
  <c r="Y1028" i="1"/>
  <c r="X1028" i="1"/>
  <c r="AX1028" i="1"/>
  <c r="AW1028" i="1"/>
  <c r="AV1028" i="1"/>
  <c r="AU1028" i="1"/>
  <c r="AT1028" i="1"/>
  <c r="Y1027" i="1"/>
  <c r="X1027" i="1"/>
  <c r="AX1027" i="1"/>
  <c r="AW1027" i="1"/>
  <c r="AV1027" i="1"/>
  <c r="AU1027" i="1"/>
  <c r="AT1027" i="1"/>
  <c r="Y1026" i="1"/>
  <c r="X1026" i="1"/>
  <c r="AX1026" i="1"/>
  <c r="AW1026" i="1"/>
  <c r="AV1026" i="1"/>
  <c r="AU1026" i="1"/>
  <c r="AT1026" i="1"/>
  <c r="Y1025" i="1"/>
  <c r="X1025" i="1"/>
  <c r="AX1025" i="1"/>
  <c r="AW1025" i="1"/>
  <c r="AV1025" i="1"/>
  <c r="AU1025" i="1"/>
  <c r="AT1025" i="1"/>
  <c r="Y1024" i="1"/>
  <c r="X1024" i="1"/>
  <c r="AX1024" i="1"/>
  <c r="AW1024" i="1"/>
  <c r="AV1024" i="1"/>
  <c r="AU1024" i="1"/>
  <c r="AT1024" i="1"/>
  <c r="Y1023" i="1"/>
  <c r="X1023" i="1"/>
  <c r="AX1023" i="1"/>
  <c r="AW1023" i="1"/>
  <c r="AV1023" i="1"/>
  <c r="AU1023" i="1"/>
  <c r="AT1023" i="1"/>
  <c r="Y1022" i="1"/>
  <c r="X1022" i="1"/>
  <c r="AX1022" i="1"/>
  <c r="AW1022" i="1"/>
  <c r="AV1022" i="1"/>
  <c r="AU1022" i="1"/>
  <c r="AT1022" i="1"/>
  <c r="Y1021" i="1"/>
  <c r="X1021" i="1"/>
  <c r="AX1021" i="1"/>
  <c r="AW1021" i="1"/>
  <c r="AV1021" i="1"/>
  <c r="AU1021" i="1"/>
  <c r="AT1021" i="1"/>
  <c r="Y1020" i="1"/>
  <c r="X1020" i="1"/>
  <c r="AX1020" i="1"/>
  <c r="AW1020" i="1"/>
  <c r="AV1020" i="1"/>
  <c r="AU1020" i="1"/>
  <c r="AT1020" i="1"/>
  <c r="Y1019" i="1"/>
  <c r="X1019" i="1"/>
  <c r="AX1019" i="1"/>
  <c r="AW1019" i="1"/>
  <c r="AV1019" i="1"/>
  <c r="AU1019" i="1"/>
  <c r="AT1019" i="1"/>
  <c r="Y1018" i="1"/>
  <c r="X1018" i="1"/>
  <c r="AX1018" i="1"/>
  <c r="AW1018" i="1"/>
  <c r="AV1018" i="1"/>
  <c r="AU1018" i="1"/>
  <c r="AT1018" i="1"/>
  <c r="Y1017" i="1"/>
  <c r="X1017" i="1"/>
  <c r="AX1017" i="1"/>
  <c r="AW1017" i="1"/>
  <c r="AV1017" i="1"/>
  <c r="AU1017" i="1"/>
  <c r="AT1017" i="1"/>
  <c r="Y1016" i="1"/>
  <c r="X1016" i="1"/>
  <c r="AX1016" i="1"/>
  <c r="AW1016" i="1"/>
  <c r="AV1016" i="1"/>
  <c r="AU1016" i="1"/>
  <c r="AT1016" i="1"/>
  <c r="Y1015" i="1"/>
  <c r="X1015" i="1"/>
  <c r="AX1015" i="1"/>
  <c r="AW1015" i="1"/>
  <c r="AV1015" i="1"/>
  <c r="AU1015" i="1"/>
  <c r="AT1015" i="1"/>
  <c r="Y1014" i="1"/>
  <c r="X1014" i="1"/>
  <c r="AX1014" i="1"/>
  <c r="AW1014" i="1"/>
  <c r="AV1014" i="1"/>
  <c r="AU1014" i="1"/>
  <c r="AT1014" i="1"/>
  <c r="Y1013" i="1"/>
  <c r="X1013" i="1"/>
  <c r="AX1013" i="1"/>
  <c r="AW1013" i="1"/>
  <c r="AV1013" i="1"/>
  <c r="AU1013" i="1"/>
  <c r="AT1013" i="1"/>
  <c r="Y1012" i="1"/>
  <c r="X1012" i="1"/>
  <c r="AX1012" i="1"/>
  <c r="AW1012" i="1"/>
  <c r="AV1012" i="1"/>
  <c r="AU1012" i="1"/>
  <c r="AT1012" i="1"/>
  <c r="Y1011" i="1"/>
  <c r="X1011" i="1"/>
  <c r="AX1011" i="1"/>
  <c r="AW1011" i="1"/>
  <c r="AV1011" i="1"/>
  <c r="AU1011" i="1"/>
  <c r="AT1011" i="1"/>
  <c r="Y1010" i="1"/>
  <c r="X1010" i="1"/>
  <c r="AX1010" i="1"/>
  <c r="AW1010" i="1"/>
  <c r="AV1010" i="1"/>
  <c r="AU1010" i="1"/>
  <c r="AT1010" i="1"/>
  <c r="Y1009" i="1"/>
  <c r="X1009" i="1"/>
  <c r="AX1009" i="1"/>
  <c r="AW1009" i="1"/>
  <c r="AV1009" i="1"/>
  <c r="AU1009" i="1"/>
  <c r="AT1009" i="1"/>
  <c r="Y1008" i="1"/>
  <c r="X1008" i="1"/>
  <c r="AX1008" i="1"/>
  <c r="AW1008" i="1"/>
  <c r="AV1008" i="1"/>
  <c r="AU1008" i="1"/>
  <c r="AT1008" i="1"/>
  <c r="Y1007" i="1"/>
  <c r="X1007" i="1"/>
  <c r="AX1007" i="1"/>
  <c r="AW1007" i="1"/>
  <c r="AV1007" i="1"/>
  <c r="AU1007" i="1"/>
  <c r="AT1007" i="1"/>
  <c r="Y1006" i="1"/>
  <c r="X1006" i="1"/>
  <c r="AX1006" i="1"/>
  <c r="AW1006" i="1"/>
  <c r="AV1006" i="1"/>
  <c r="AU1006" i="1"/>
  <c r="AT1006" i="1"/>
  <c r="Y1005" i="1"/>
  <c r="X1005" i="1"/>
  <c r="AX1005" i="1"/>
  <c r="AW1005" i="1"/>
  <c r="AV1005" i="1"/>
  <c r="AU1005" i="1"/>
  <c r="AT1005" i="1"/>
  <c r="Y1004" i="1"/>
  <c r="X1004" i="1"/>
  <c r="AX1004" i="1"/>
  <c r="AW1004" i="1"/>
  <c r="AV1004" i="1"/>
  <c r="AU1004" i="1"/>
  <c r="AT1004" i="1"/>
  <c r="Y1003" i="1"/>
  <c r="X1003" i="1"/>
  <c r="AX1003" i="1"/>
  <c r="AW1003" i="1"/>
  <c r="AV1003" i="1"/>
  <c r="AU1003" i="1"/>
  <c r="AT1003" i="1"/>
  <c r="Y1002" i="1"/>
  <c r="X1002" i="1"/>
  <c r="AX1002" i="1"/>
  <c r="AW1002" i="1"/>
  <c r="AV1002" i="1"/>
  <c r="AU1002" i="1"/>
  <c r="AT1002" i="1"/>
  <c r="Y1001" i="1"/>
  <c r="X1001" i="1"/>
  <c r="AX1001" i="1"/>
  <c r="AW1001" i="1"/>
  <c r="AV1001" i="1"/>
  <c r="AU1001" i="1"/>
  <c r="AT1001" i="1"/>
  <c r="Y1000" i="1"/>
  <c r="X1000" i="1"/>
  <c r="AX1000" i="1"/>
  <c r="AW1000" i="1"/>
  <c r="AV1000" i="1"/>
  <c r="AU1000" i="1"/>
  <c r="AT1000" i="1"/>
  <c r="Y999" i="1"/>
  <c r="X999" i="1"/>
  <c r="AX999" i="1"/>
  <c r="AW999" i="1"/>
  <c r="AV999" i="1"/>
  <c r="AU999" i="1"/>
  <c r="AT999" i="1"/>
  <c r="Y998" i="1"/>
  <c r="X998" i="1"/>
  <c r="AX998" i="1"/>
  <c r="AW998" i="1"/>
  <c r="AV998" i="1"/>
  <c r="AU998" i="1"/>
  <c r="AT998" i="1"/>
  <c r="Y997" i="1"/>
  <c r="X997" i="1"/>
  <c r="AX997" i="1"/>
  <c r="AW997" i="1"/>
  <c r="AV997" i="1"/>
  <c r="AU997" i="1"/>
  <c r="AT997" i="1"/>
  <c r="Y996" i="1"/>
  <c r="X996" i="1"/>
  <c r="AX996" i="1"/>
  <c r="AW996" i="1"/>
  <c r="AV996" i="1"/>
  <c r="AU996" i="1"/>
  <c r="AT996" i="1"/>
  <c r="Y995" i="1"/>
  <c r="X995" i="1"/>
  <c r="AX995" i="1"/>
  <c r="AW995" i="1"/>
  <c r="AV995" i="1"/>
  <c r="AU995" i="1"/>
  <c r="AT995" i="1"/>
  <c r="Y994" i="1"/>
  <c r="X994" i="1"/>
  <c r="AX994" i="1"/>
  <c r="AW994" i="1"/>
  <c r="AV994" i="1"/>
  <c r="AU994" i="1"/>
  <c r="AT994" i="1"/>
  <c r="Y993" i="1"/>
  <c r="X993" i="1"/>
  <c r="AX993" i="1"/>
  <c r="AW993" i="1"/>
  <c r="AV993" i="1"/>
  <c r="AU993" i="1"/>
  <c r="AT993" i="1"/>
  <c r="Y992" i="1"/>
  <c r="X992" i="1"/>
  <c r="AX992" i="1"/>
  <c r="AW992" i="1"/>
  <c r="AV992" i="1"/>
  <c r="AU992" i="1"/>
  <c r="AT992" i="1"/>
  <c r="Y991" i="1"/>
  <c r="X991" i="1"/>
  <c r="AX991" i="1"/>
  <c r="AW991" i="1"/>
  <c r="AV991" i="1"/>
  <c r="AU991" i="1"/>
  <c r="AT991" i="1"/>
  <c r="Y990" i="1"/>
  <c r="X990" i="1"/>
  <c r="AX990" i="1"/>
  <c r="AW990" i="1"/>
  <c r="AV990" i="1"/>
  <c r="AU990" i="1"/>
  <c r="AT990" i="1"/>
  <c r="Y989" i="1"/>
  <c r="X989" i="1"/>
  <c r="AX989" i="1"/>
  <c r="AW989" i="1"/>
  <c r="AV989" i="1"/>
  <c r="AU989" i="1"/>
  <c r="AT989" i="1"/>
  <c r="Y988" i="1"/>
  <c r="X988" i="1"/>
  <c r="AX988" i="1"/>
  <c r="AW988" i="1"/>
  <c r="AV988" i="1"/>
  <c r="AU988" i="1"/>
  <c r="AT988" i="1"/>
  <c r="Y987" i="1"/>
  <c r="X987" i="1"/>
  <c r="AX987" i="1"/>
  <c r="AW987" i="1"/>
  <c r="AV987" i="1"/>
  <c r="AU987" i="1"/>
  <c r="AT987" i="1"/>
  <c r="Y986" i="1"/>
  <c r="X986" i="1"/>
  <c r="AX986" i="1"/>
  <c r="AW986" i="1"/>
  <c r="AV986" i="1"/>
  <c r="AU986" i="1"/>
  <c r="AT986" i="1"/>
  <c r="Y985" i="1"/>
  <c r="X985" i="1"/>
  <c r="AX985" i="1"/>
  <c r="AW985" i="1"/>
  <c r="AV985" i="1"/>
  <c r="AU985" i="1"/>
  <c r="AT985" i="1"/>
  <c r="Y984" i="1"/>
  <c r="X984" i="1"/>
  <c r="AX984" i="1"/>
  <c r="AW984" i="1"/>
  <c r="AV984" i="1"/>
  <c r="AU984" i="1"/>
  <c r="AT984" i="1"/>
  <c r="Y983" i="1"/>
  <c r="X983" i="1"/>
  <c r="AX983" i="1"/>
  <c r="AW983" i="1"/>
  <c r="AV983" i="1"/>
  <c r="AU983" i="1"/>
  <c r="AT983" i="1"/>
  <c r="Y982" i="1"/>
  <c r="X982" i="1"/>
  <c r="AX982" i="1"/>
  <c r="AW982" i="1"/>
  <c r="AV982" i="1"/>
  <c r="AU982" i="1"/>
  <c r="AT982" i="1"/>
  <c r="Y981" i="1"/>
  <c r="X981" i="1"/>
  <c r="AX981" i="1"/>
  <c r="AW981" i="1"/>
  <c r="AV981" i="1"/>
  <c r="AU981" i="1"/>
  <c r="AT981" i="1"/>
  <c r="Y980" i="1"/>
  <c r="X980" i="1"/>
  <c r="AX980" i="1"/>
  <c r="AW980" i="1"/>
  <c r="AV980" i="1"/>
  <c r="AU980" i="1"/>
  <c r="AT980" i="1"/>
  <c r="Y979" i="1"/>
  <c r="X979" i="1"/>
  <c r="AX979" i="1"/>
  <c r="AW979" i="1"/>
  <c r="AV979" i="1"/>
  <c r="AU979" i="1"/>
  <c r="AT979" i="1"/>
  <c r="Y978" i="1"/>
  <c r="X978" i="1"/>
  <c r="AX978" i="1"/>
  <c r="AW978" i="1"/>
  <c r="AV978" i="1"/>
  <c r="AU978" i="1"/>
  <c r="AT978" i="1"/>
  <c r="Y977" i="1"/>
  <c r="X977" i="1"/>
  <c r="AX977" i="1"/>
  <c r="AW977" i="1"/>
  <c r="AV977" i="1"/>
  <c r="AU977" i="1"/>
  <c r="AT977" i="1"/>
  <c r="Y976" i="1"/>
  <c r="X976" i="1"/>
  <c r="AX976" i="1"/>
  <c r="AW976" i="1"/>
  <c r="AV976" i="1"/>
  <c r="AU976" i="1"/>
  <c r="AT976" i="1"/>
  <c r="Y975" i="1"/>
  <c r="X975" i="1"/>
  <c r="AX975" i="1"/>
  <c r="AW975" i="1"/>
  <c r="AV975" i="1"/>
  <c r="AU975" i="1"/>
  <c r="AT975" i="1"/>
  <c r="Y974" i="1"/>
  <c r="X974" i="1"/>
  <c r="AX974" i="1"/>
  <c r="AW974" i="1"/>
  <c r="AV974" i="1"/>
  <c r="AU974" i="1"/>
  <c r="AT974" i="1"/>
  <c r="Y973" i="1"/>
  <c r="X973" i="1"/>
  <c r="AX973" i="1"/>
  <c r="AW973" i="1"/>
  <c r="AV973" i="1"/>
  <c r="AU973" i="1"/>
  <c r="AT973" i="1"/>
  <c r="Y972" i="1"/>
  <c r="X972" i="1"/>
  <c r="AX972" i="1"/>
  <c r="AW972" i="1"/>
  <c r="AV972" i="1"/>
  <c r="AU972" i="1"/>
  <c r="AT972" i="1"/>
  <c r="Y971" i="1"/>
  <c r="X971" i="1"/>
  <c r="AX971" i="1"/>
  <c r="AW971" i="1"/>
  <c r="AV971" i="1"/>
  <c r="AU971" i="1"/>
  <c r="AT971" i="1"/>
  <c r="Y970" i="1"/>
  <c r="X970" i="1"/>
  <c r="AX970" i="1"/>
  <c r="AW970" i="1"/>
  <c r="AV970" i="1"/>
  <c r="AU970" i="1"/>
  <c r="AT970" i="1"/>
  <c r="Y969" i="1"/>
  <c r="X969" i="1"/>
  <c r="AX969" i="1"/>
  <c r="AW969" i="1"/>
  <c r="AV969" i="1"/>
  <c r="AU969" i="1"/>
  <c r="AT969" i="1"/>
  <c r="Y968" i="1"/>
  <c r="X968" i="1"/>
  <c r="AX968" i="1"/>
  <c r="AW968" i="1"/>
  <c r="AV968" i="1"/>
  <c r="AU968" i="1"/>
  <c r="AT968" i="1"/>
  <c r="Y967" i="1"/>
  <c r="X967" i="1"/>
  <c r="AX967" i="1"/>
  <c r="AW967" i="1"/>
  <c r="AV967" i="1"/>
  <c r="AU967" i="1"/>
  <c r="AT967" i="1"/>
  <c r="Y966" i="1"/>
  <c r="X966" i="1"/>
  <c r="AX966" i="1"/>
  <c r="AW966" i="1"/>
  <c r="AV966" i="1"/>
  <c r="AU966" i="1"/>
  <c r="AT966" i="1"/>
  <c r="Y965" i="1"/>
  <c r="X965" i="1"/>
  <c r="AX965" i="1"/>
  <c r="AW965" i="1"/>
  <c r="AV965" i="1"/>
  <c r="AU965" i="1"/>
  <c r="AT965" i="1"/>
  <c r="Y963" i="1"/>
  <c r="X963" i="1"/>
  <c r="AX963" i="1"/>
  <c r="AW963" i="1"/>
  <c r="AV963" i="1"/>
  <c r="AU963" i="1"/>
  <c r="AT963" i="1"/>
  <c r="Y962" i="1"/>
  <c r="X962" i="1"/>
  <c r="AX962" i="1"/>
  <c r="AW962" i="1"/>
  <c r="AV962" i="1"/>
  <c r="AU962" i="1"/>
  <c r="AT962" i="1"/>
  <c r="Y961" i="1"/>
  <c r="X961" i="1"/>
  <c r="AX961" i="1"/>
  <c r="AW961" i="1"/>
  <c r="AV961" i="1"/>
  <c r="AU961" i="1"/>
  <c r="AT961" i="1"/>
  <c r="Y960" i="1"/>
  <c r="X960" i="1"/>
  <c r="AX960" i="1"/>
  <c r="AW960" i="1"/>
  <c r="AV960" i="1"/>
  <c r="AU960" i="1"/>
  <c r="AT960" i="1"/>
  <c r="Y959" i="1"/>
  <c r="X959" i="1"/>
  <c r="AX959" i="1"/>
  <c r="AW959" i="1"/>
  <c r="AV959" i="1"/>
  <c r="AU959" i="1"/>
  <c r="AT959" i="1"/>
  <c r="Y958" i="1"/>
  <c r="X958" i="1"/>
  <c r="AX958" i="1"/>
  <c r="AW958" i="1"/>
  <c r="AV958" i="1"/>
  <c r="AU958" i="1"/>
  <c r="AT958" i="1"/>
  <c r="Y957" i="1"/>
  <c r="X957" i="1"/>
  <c r="AX957" i="1"/>
  <c r="AW957" i="1"/>
  <c r="AV957" i="1"/>
  <c r="AU957" i="1"/>
  <c r="AT957" i="1"/>
  <c r="Y956" i="1"/>
  <c r="X956" i="1"/>
  <c r="AX956" i="1"/>
  <c r="AW956" i="1"/>
  <c r="AV956" i="1"/>
  <c r="AU956" i="1"/>
  <c r="AT956" i="1"/>
  <c r="Y955" i="1"/>
  <c r="X955" i="1"/>
  <c r="AX955" i="1"/>
  <c r="AW955" i="1"/>
  <c r="AV955" i="1"/>
  <c r="AU955" i="1"/>
  <c r="AT955" i="1"/>
  <c r="Y954" i="1"/>
  <c r="X954" i="1"/>
  <c r="AX954" i="1"/>
  <c r="AW954" i="1"/>
  <c r="AV954" i="1"/>
  <c r="AU954" i="1"/>
  <c r="AT954" i="1"/>
  <c r="Y953" i="1"/>
  <c r="X953" i="1"/>
  <c r="AX953" i="1"/>
  <c r="AW953" i="1"/>
  <c r="AV953" i="1"/>
  <c r="AU953" i="1"/>
  <c r="AT953" i="1"/>
  <c r="Y952" i="1"/>
  <c r="X952" i="1"/>
  <c r="AX952" i="1"/>
  <c r="AW952" i="1"/>
  <c r="AV952" i="1"/>
  <c r="AU952" i="1"/>
  <c r="AT952" i="1"/>
  <c r="Y951" i="1"/>
  <c r="X951" i="1"/>
  <c r="AX951" i="1"/>
  <c r="AW951" i="1"/>
  <c r="AV951" i="1"/>
  <c r="AU951" i="1"/>
  <c r="AT951" i="1"/>
  <c r="Y950" i="1"/>
  <c r="X950" i="1"/>
  <c r="AX950" i="1"/>
  <c r="AW950" i="1"/>
  <c r="AV950" i="1"/>
  <c r="AU950" i="1"/>
  <c r="AT950" i="1"/>
  <c r="Y948" i="1"/>
  <c r="X948" i="1"/>
  <c r="AX948" i="1"/>
  <c r="AW948" i="1"/>
  <c r="AV948" i="1"/>
  <c r="AU948" i="1"/>
  <c r="AT948" i="1"/>
  <c r="Y947" i="1"/>
  <c r="X947" i="1"/>
  <c r="AX947" i="1"/>
  <c r="AW947" i="1"/>
  <c r="AV947" i="1"/>
  <c r="AU947" i="1"/>
  <c r="AT947" i="1"/>
  <c r="Y946" i="1"/>
  <c r="X946" i="1"/>
  <c r="AX946" i="1"/>
  <c r="AW946" i="1"/>
  <c r="AV946" i="1"/>
  <c r="AU946" i="1"/>
  <c r="AT946" i="1"/>
  <c r="Y945" i="1"/>
  <c r="X945" i="1"/>
  <c r="AX945" i="1"/>
  <c r="AW945" i="1"/>
  <c r="AV945" i="1"/>
  <c r="AU945" i="1"/>
  <c r="AT945" i="1"/>
  <c r="Y944" i="1"/>
  <c r="X944" i="1"/>
  <c r="AX944" i="1"/>
  <c r="AW944" i="1"/>
  <c r="AV944" i="1"/>
  <c r="AU944" i="1"/>
  <c r="AT944" i="1"/>
  <c r="Y943" i="1"/>
  <c r="X943" i="1"/>
  <c r="AX943" i="1"/>
  <c r="AW943" i="1"/>
  <c r="AV943" i="1"/>
  <c r="AU943" i="1"/>
  <c r="AT943" i="1"/>
  <c r="Y942" i="1"/>
  <c r="X942" i="1"/>
  <c r="AX942" i="1"/>
  <c r="AW942" i="1"/>
  <c r="AV942" i="1"/>
  <c r="AU942" i="1"/>
  <c r="AT942" i="1"/>
  <c r="Y941" i="1"/>
  <c r="X941" i="1"/>
  <c r="AX941" i="1"/>
  <c r="AW941" i="1"/>
  <c r="AV941" i="1"/>
  <c r="AU941" i="1"/>
  <c r="AT941" i="1"/>
  <c r="Y940" i="1"/>
  <c r="X940" i="1"/>
  <c r="AX940" i="1"/>
  <c r="AW940" i="1"/>
  <c r="AV940" i="1"/>
  <c r="AU940" i="1"/>
  <c r="AT940" i="1"/>
  <c r="Y939" i="1"/>
  <c r="X939" i="1"/>
  <c r="AX939" i="1"/>
  <c r="AW939" i="1"/>
  <c r="AV939" i="1"/>
  <c r="AU939" i="1"/>
  <c r="AT939" i="1"/>
  <c r="Y938" i="1"/>
  <c r="X938" i="1"/>
  <c r="AX938" i="1"/>
  <c r="AW938" i="1"/>
  <c r="AV938" i="1"/>
  <c r="AU938" i="1"/>
  <c r="AT938" i="1"/>
  <c r="Y937" i="1"/>
  <c r="X937" i="1"/>
  <c r="AX937" i="1"/>
  <c r="AW937" i="1"/>
  <c r="AV937" i="1"/>
  <c r="AU937" i="1"/>
  <c r="AT937" i="1"/>
  <c r="Y936" i="1"/>
  <c r="X936" i="1"/>
  <c r="AX936" i="1"/>
  <c r="AW936" i="1"/>
  <c r="AV936" i="1"/>
  <c r="AU936" i="1"/>
  <c r="AT936" i="1"/>
  <c r="Y935" i="1"/>
  <c r="X935" i="1"/>
  <c r="AX935" i="1"/>
  <c r="AW935" i="1"/>
  <c r="AV935" i="1"/>
  <c r="AU935" i="1"/>
  <c r="AT935" i="1"/>
  <c r="Y934" i="1"/>
  <c r="X934" i="1"/>
  <c r="AX934" i="1"/>
  <c r="AW934" i="1"/>
  <c r="AV934" i="1"/>
  <c r="AU934" i="1"/>
  <c r="AT934" i="1"/>
  <c r="Y933" i="1"/>
  <c r="X933" i="1"/>
  <c r="AX933" i="1"/>
  <c r="AW933" i="1"/>
  <c r="AV933" i="1"/>
  <c r="AU933" i="1"/>
  <c r="AT933" i="1"/>
  <c r="Y932" i="1"/>
  <c r="X932" i="1"/>
  <c r="AX932" i="1"/>
  <c r="AW932" i="1"/>
  <c r="AV932" i="1"/>
  <c r="AU932" i="1"/>
  <c r="AT932" i="1"/>
  <c r="Y931" i="1"/>
  <c r="X931" i="1"/>
  <c r="AX931" i="1"/>
  <c r="AW931" i="1"/>
  <c r="AV931" i="1"/>
  <c r="AU931" i="1"/>
  <c r="AT931" i="1"/>
  <c r="Y930" i="1"/>
  <c r="X930" i="1"/>
  <c r="AX930" i="1"/>
  <c r="AW930" i="1"/>
  <c r="AV930" i="1"/>
  <c r="AU930" i="1"/>
  <c r="AT930" i="1"/>
  <c r="Y929" i="1"/>
  <c r="X929" i="1"/>
  <c r="AX929" i="1"/>
  <c r="AW929" i="1"/>
  <c r="AV929" i="1"/>
  <c r="AU929" i="1"/>
  <c r="AT929" i="1"/>
  <c r="Y928" i="1"/>
  <c r="X928" i="1"/>
  <c r="AX928" i="1"/>
  <c r="AW928" i="1"/>
  <c r="AV928" i="1"/>
  <c r="AU928" i="1"/>
  <c r="AT928" i="1"/>
  <c r="Y927" i="1"/>
  <c r="X927" i="1"/>
  <c r="AX927" i="1"/>
  <c r="AW927" i="1"/>
  <c r="AV927" i="1"/>
  <c r="AU927" i="1"/>
  <c r="AT927" i="1"/>
  <c r="Y926" i="1"/>
  <c r="X926" i="1"/>
  <c r="AX926" i="1"/>
  <c r="AW926" i="1"/>
  <c r="AV926" i="1"/>
  <c r="AU926" i="1"/>
  <c r="AT926" i="1"/>
  <c r="Y925" i="1"/>
  <c r="X925" i="1"/>
  <c r="AX925" i="1"/>
  <c r="AW925" i="1"/>
  <c r="AV925" i="1"/>
  <c r="AU925" i="1"/>
  <c r="AT925" i="1"/>
  <c r="Y924" i="1"/>
  <c r="X924" i="1"/>
  <c r="AX924" i="1"/>
  <c r="AW924" i="1"/>
  <c r="AV924" i="1"/>
  <c r="AU924" i="1"/>
  <c r="AT924" i="1"/>
  <c r="Y923" i="1"/>
  <c r="X923" i="1"/>
  <c r="AX923" i="1"/>
  <c r="AW923" i="1"/>
  <c r="AV923" i="1"/>
  <c r="AU923" i="1"/>
  <c r="AT923" i="1"/>
  <c r="Y922" i="1"/>
  <c r="X922" i="1"/>
  <c r="AX922" i="1"/>
  <c r="AW922" i="1"/>
  <c r="AV922" i="1"/>
  <c r="AU922" i="1"/>
  <c r="AT922" i="1"/>
  <c r="Y921" i="1"/>
  <c r="X921" i="1"/>
  <c r="AX921" i="1"/>
  <c r="AW921" i="1"/>
  <c r="AV921" i="1"/>
  <c r="AU921" i="1"/>
  <c r="AT921" i="1"/>
  <c r="Y920" i="1"/>
  <c r="X920" i="1"/>
  <c r="AX920" i="1"/>
  <c r="AW920" i="1"/>
  <c r="AV920" i="1"/>
  <c r="AU920" i="1"/>
  <c r="AT920" i="1"/>
  <c r="Y919" i="1"/>
  <c r="X919" i="1"/>
  <c r="AX919" i="1"/>
  <c r="AW919" i="1"/>
  <c r="AV919" i="1"/>
  <c r="AU919" i="1"/>
  <c r="AT919" i="1"/>
  <c r="Y918" i="1"/>
  <c r="X918" i="1"/>
  <c r="AX918" i="1"/>
  <c r="AW918" i="1"/>
  <c r="AV918" i="1"/>
  <c r="AU918" i="1"/>
  <c r="AT918" i="1"/>
  <c r="Y917" i="1"/>
  <c r="X917" i="1"/>
  <c r="AX917" i="1"/>
  <c r="AW917" i="1"/>
  <c r="AV917" i="1"/>
  <c r="AU917" i="1"/>
  <c r="AT917" i="1"/>
  <c r="Y915" i="1"/>
  <c r="X915" i="1"/>
  <c r="AX915" i="1"/>
  <c r="AW915" i="1"/>
  <c r="AV915" i="1"/>
  <c r="AU915" i="1"/>
  <c r="AT915" i="1"/>
  <c r="Y914" i="1"/>
  <c r="X914" i="1"/>
  <c r="AX914" i="1"/>
  <c r="AW914" i="1"/>
  <c r="AV914" i="1"/>
  <c r="AU914" i="1"/>
  <c r="AT914" i="1"/>
  <c r="Y913" i="1"/>
  <c r="X913" i="1"/>
  <c r="AX913" i="1"/>
  <c r="AW913" i="1"/>
  <c r="AV913" i="1"/>
  <c r="AU913" i="1"/>
  <c r="AT913" i="1"/>
  <c r="Y912" i="1"/>
  <c r="X912" i="1"/>
  <c r="AX912" i="1"/>
  <c r="AW912" i="1"/>
  <c r="AV912" i="1"/>
  <c r="AU912" i="1"/>
  <c r="AT912" i="1"/>
  <c r="Y911" i="1"/>
  <c r="X911" i="1"/>
  <c r="AX911" i="1"/>
  <c r="AW911" i="1"/>
  <c r="AV911" i="1"/>
  <c r="AU911" i="1"/>
  <c r="AT911" i="1"/>
  <c r="Y910" i="1"/>
  <c r="X910" i="1"/>
  <c r="AX910" i="1"/>
  <c r="AW910" i="1"/>
  <c r="AV910" i="1"/>
  <c r="AU910" i="1"/>
  <c r="AT910" i="1"/>
  <c r="Y909" i="1"/>
  <c r="X909" i="1"/>
  <c r="AX909" i="1"/>
  <c r="AW909" i="1"/>
  <c r="AV909" i="1"/>
  <c r="AU909" i="1"/>
  <c r="AT909" i="1"/>
  <c r="Y908" i="1"/>
  <c r="X908" i="1"/>
  <c r="AX908" i="1"/>
  <c r="AW908" i="1"/>
  <c r="AV908" i="1"/>
  <c r="AU908" i="1"/>
  <c r="AT908" i="1"/>
  <c r="Y907" i="1"/>
  <c r="X907" i="1"/>
  <c r="AX907" i="1"/>
  <c r="AW907" i="1"/>
  <c r="AV907" i="1"/>
  <c r="AU907" i="1"/>
  <c r="AT907" i="1"/>
  <c r="Y906" i="1"/>
  <c r="X906" i="1"/>
  <c r="AX906" i="1"/>
  <c r="AW906" i="1"/>
  <c r="AV906" i="1"/>
  <c r="AU906" i="1"/>
  <c r="AT906" i="1"/>
  <c r="Y905" i="1"/>
  <c r="X905" i="1"/>
  <c r="AX905" i="1"/>
  <c r="AW905" i="1"/>
  <c r="AV905" i="1"/>
  <c r="AU905" i="1"/>
  <c r="AT905" i="1"/>
  <c r="Y904" i="1"/>
  <c r="X904" i="1"/>
  <c r="AX904" i="1"/>
  <c r="AW904" i="1"/>
  <c r="AV904" i="1"/>
  <c r="AU904" i="1"/>
  <c r="AT904" i="1"/>
  <c r="Y903" i="1"/>
  <c r="X903" i="1"/>
  <c r="AX903" i="1"/>
  <c r="AW903" i="1"/>
  <c r="AV903" i="1"/>
  <c r="AU903" i="1"/>
  <c r="AT903" i="1"/>
  <c r="Y902" i="1"/>
  <c r="X902" i="1"/>
  <c r="AX902" i="1"/>
  <c r="AW902" i="1"/>
  <c r="AV902" i="1"/>
  <c r="AU902" i="1"/>
  <c r="AT902" i="1"/>
  <c r="Y901" i="1"/>
  <c r="X901" i="1"/>
  <c r="AX901" i="1"/>
  <c r="AW901" i="1"/>
  <c r="AV901" i="1"/>
  <c r="AU901" i="1"/>
  <c r="AT901" i="1"/>
  <c r="Y900" i="1"/>
  <c r="X900" i="1"/>
  <c r="AX900" i="1"/>
  <c r="AW900" i="1"/>
  <c r="AV900" i="1"/>
  <c r="AU900" i="1"/>
  <c r="AT900" i="1"/>
  <c r="Y899" i="1"/>
  <c r="X899" i="1"/>
  <c r="AX899" i="1"/>
  <c r="AW899" i="1"/>
  <c r="AV899" i="1"/>
  <c r="AU899" i="1"/>
  <c r="AT899" i="1"/>
  <c r="Y898" i="1"/>
  <c r="X898" i="1"/>
  <c r="AX898" i="1"/>
  <c r="AW898" i="1"/>
  <c r="AV898" i="1"/>
  <c r="AU898" i="1"/>
  <c r="AT898" i="1"/>
  <c r="Y897" i="1"/>
  <c r="X897" i="1"/>
  <c r="AX897" i="1"/>
  <c r="AW897" i="1"/>
  <c r="AV897" i="1"/>
  <c r="AU897" i="1"/>
  <c r="AT897" i="1"/>
  <c r="Y896" i="1"/>
  <c r="X896" i="1"/>
  <c r="AX896" i="1"/>
  <c r="AW896" i="1"/>
  <c r="AV896" i="1"/>
  <c r="AU896" i="1"/>
  <c r="AT896" i="1"/>
  <c r="Y895" i="1"/>
  <c r="X895" i="1"/>
  <c r="AX895" i="1"/>
  <c r="AW895" i="1"/>
  <c r="AV895" i="1"/>
  <c r="AU895" i="1"/>
  <c r="AT895" i="1"/>
  <c r="Y894" i="1"/>
  <c r="X894" i="1"/>
  <c r="AX894" i="1"/>
  <c r="AW894" i="1"/>
  <c r="AV894" i="1"/>
  <c r="AU894" i="1"/>
  <c r="AT894" i="1"/>
  <c r="Y893" i="1"/>
  <c r="X893" i="1"/>
  <c r="AX893" i="1"/>
  <c r="AW893" i="1"/>
  <c r="AV893" i="1"/>
  <c r="AU893" i="1"/>
  <c r="AT893" i="1"/>
  <c r="Y892" i="1"/>
  <c r="X892" i="1"/>
  <c r="AX892" i="1"/>
  <c r="AW892" i="1"/>
  <c r="AV892" i="1"/>
  <c r="AU892" i="1"/>
  <c r="AT892" i="1"/>
  <c r="Y891" i="1"/>
  <c r="X891" i="1"/>
  <c r="AX891" i="1"/>
  <c r="AW891" i="1"/>
  <c r="AV891" i="1"/>
  <c r="AU891" i="1"/>
  <c r="AT891" i="1"/>
  <c r="Y890" i="1"/>
  <c r="X890" i="1"/>
  <c r="AX890" i="1"/>
  <c r="AW890" i="1"/>
  <c r="AV890" i="1"/>
  <c r="AU890" i="1"/>
  <c r="AT890" i="1"/>
  <c r="Y889" i="1"/>
  <c r="X889" i="1"/>
  <c r="AX889" i="1"/>
  <c r="AW889" i="1"/>
  <c r="AV889" i="1"/>
  <c r="AU889" i="1"/>
  <c r="AT889" i="1"/>
  <c r="Y888" i="1"/>
  <c r="X888" i="1"/>
  <c r="AX888" i="1"/>
  <c r="AW888" i="1"/>
  <c r="AV888" i="1"/>
  <c r="AU888" i="1"/>
  <c r="AT888" i="1"/>
  <c r="Y887" i="1"/>
  <c r="X887" i="1"/>
  <c r="AX887" i="1"/>
  <c r="AW887" i="1"/>
  <c r="AV887" i="1"/>
  <c r="AU887" i="1"/>
  <c r="AT887" i="1"/>
  <c r="Y886" i="1"/>
  <c r="X886" i="1"/>
  <c r="AX886" i="1"/>
  <c r="AW886" i="1"/>
  <c r="AV886" i="1"/>
  <c r="AU886" i="1"/>
  <c r="AT886" i="1"/>
  <c r="Y885" i="1"/>
  <c r="X885" i="1"/>
  <c r="AX885" i="1"/>
  <c r="AW885" i="1"/>
  <c r="AV885" i="1"/>
  <c r="AU885" i="1"/>
  <c r="AT885" i="1"/>
  <c r="Y884" i="1"/>
  <c r="X884" i="1"/>
  <c r="AX884" i="1"/>
  <c r="AW884" i="1"/>
  <c r="AV884" i="1"/>
  <c r="AU884" i="1"/>
  <c r="AT884" i="1"/>
  <c r="Y883" i="1"/>
  <c r="X883" i="1"/>
  <c r="AX883" i="1"/>
  <c r="AW883" i="1"/>
  <c r="AV883" i="1"/>
  <c r="AU883" i="1"/>
  <c r="AT883" i="1"/>
  <c r="Y882" i="1"/>
  <c r="X882" i="1"/>
  <c r="AX882" i="1"/>
  <c r="AW882" i="1"/>
  <c r="AV882" i="1"/>
  <c r="AU882" i="1"/>
  <c r="AT882" i="1"/>
  <c r="Y881" i="1"/>
  <c r="X881" i="1"/>
  <c r="AX881" i="1"/>
  <c r="AW881" i="1"/>
  <c r="AV881" i="1"/>
  <c r="AU881" i="1"/>
  <c r="AT881" i="1"/>
  <c r="Y880" i="1"/>
  <c r="X880" i="1"/>
  <c r="AX880" i="1"/>
  <c r="AW880" i="1"/>
  <c r="AV880" i="1"/>
  <c r="AU880" i="1"/>
  <c r="AT880" i="1"/>
  <c r="Y879" i="1"/>
  <c r="X879" i="1"/>
  <c r="AX879" i="1"/>
  <c r="AW879" i="1"/>
  <c r="AV879" i="1"/>
  <c r="AU879" i="1"/>
  <c r="AT879" i="1"/>
  <c r="Y878" i="1"/>
  <c r="X878" i="1"/>
  <c r="AX878" i="1"/>
  <c r="AW878" i="1"/>
  <c r="AV878" i="1"/>
  <c r="AU878" i="1"/>
  <c r="AT878" i="1"/>
  <c r="Y877" i="1"/>
  <c r="X877" i="1"/>
  <c r="AX877" i="1"/>
  <c r="AW877" i="1"/>
  <c r="AV877" i="1"/>
  <c r="AU877" i="1"/>
  <c r="AT877" i="1"/>
  <c r="Y876" i="1"/>
  <c r="X876" i="1"/>
  <c r="AX876" i="1"/>
  <c r="AW876" i="1"/>
  <c r="AV876" i="1"/>
  <c r="AU876" i="1"/>
  <c r="AT876" i="1"/>
  <c r="Y875" i="1"/>
  <c r="X875" i="1"/>
  <c r="AX875" i="1"/>
  <c r="AW875" i="1"/>
  <c r="AV875" i="1"/>
  <c r="AU875" i="1"/>
  <c r="AT875" i="1"/>
  <c r="Y874" i="1"/>
  <c r="X874" i="1"/>
  <c r="AX874" i="1"/>
  <c r="AW874" i="1"/>
  <c r="AV874" i="1"/>
  <c r="AU874" i="1"/>
  <c r="AT874" i="1"/>
  <c r="Y873" i="1"/>
  <c r="X873" i="1"/>
  <c r="AX873" i="1"/>
  <c r="AW873" i="1"/>
  <c r="AV873" i="1"/>
  <c r="AU873" i="1"/>
  <c r="AT873" i="1"/>
  <c r="Y872" i="1"/>
  <c r="X872" i="1"/>
  <c r="AX872" i="1"/>
  <c r="AW872" i="1"/>
  <c r="AV872" i="1"/>
  <c r="AU872" i="1"/>
  <c r="AT872" i="1"/>
  <c r="Y871" i="1"/>
  <c r="X871" i="1"/>
  <c r="AX871" i="1"/>
  <c r="AW871" i="1"/>
  <c r="AV871" i="1"/>
  <c r="AU871" i="1"/>
  <c r="AT871" i="1"/>
  <c r="Y870" i="1"/>
  <c r="X870" i="1"/>
  <c r="AX870" i="1"/>
  <c r="AW870" i="1"/>
  <c r="AV870" i="1"/>
  <c r="AU870" i="1"/>
  <c r="AT870" i="1"/>
  <c r="Y869" i="1"/>
  <c r="X869" i="1"/>
  <c r="AX869" i="1"/>
  <c r="AW869" i="1"/>
  <c r="AV869" i="1"/>
  <c r="AU869" i="1"/>
  <c r="AT869" i="1"/>
  <c r="Y868" i="1"/>
  <c r="X868" i="1"/>
  <c r="AX868" i="1"/>
  <c r="AW868" i="1"/>
  <c r="AV868" i="1"/>
  <c r="AU868" i="1"/>
  <c r="AT868" i="1"/>
  <c r="Y867" i="1"/>
  <c r="X867" i="1"/>
  <c r="AX867" i="1"/>
  <c r="AW867" i="1"/>
  <c r="AV867" i="1"/>
  <c r="AU867" i="1"/>
  <c r="AT867" i="1"/>
  <c r="Y866" i="1"/>
  <c r="X866" i="1"/>
  <c r="AX866" i="1"/>
  <c r="AW866" i="1"/>
  <c r="AV866" i="1"/>
  <c r="AU866" i="1"/>
  <c r="AT866" i="1"/>
  <c r="Y865" i="1"/>
  <c r="X865" i="1"/>
  <c r="AX865" i="1"/>
  <c r="AW865" i="1"/>
  <c r="AV865" i="1"/>
  <c r="AU865" i="1"/>
  <c r="AT865" i="1"/>
  <c r="Y864" i="1"/>
  <c r="X864" i="1"/>
  <c r="AX864" i="1"/>
  <c r="AW864" i="1"/>
  <c r="AV864" i="1"/>
  <c r="AU864" i="1"/>
  <c r="AT864" i="1"/>
  <c r="Y863" i="1"/>
  <c r="X863" i="1"/>
  <c r="AX863" i="1"/>
  <c r="AW863" i="1"/>
  <c r="AV863" i="1"/>
  <c r="AU863" i="1"/>
  <c r="AT863" i="1"/>
  <c r="Y862" i="1"/>
  <c r="X862" i="1"/>
  <c r="AX862" i="1"/>
  <c r="AW862" i="1"/>
  <c r="AV862" i="1"/>
  <c r="AU862" i="1"/>
  <c r="AT862" i="1"/>
  <c r="Y861" i="1"/>
  <c r="X861" i="1"/>
  <c r="AX861" i="1"/>
  <c r="AW861" i="1"/>
  <c r="AV861" i="1"/>
  <c r="AU861" i="1"/>
  <c r="AT861" i="1"/>
  <c r="Y860" i="1"/>
  <c r="X860" i="1"/>
  <c r="AX860" i="1"/>
  <c r="AW860" i="1"/>
  <c r="AV860" i="1"/>
  <c r="AU860" i="1"/>
  <c r="AT860" i="1"/>
  <c r="Y859" i="1"/>
  <c r="X859" i="1"/>
  <c r="AX859" i="1"/>
  <c r="AW859" i="1"/>
  <c r="AV859" i="1"/>
  <c r="AU859" i="1"/>
  <c r="AT859" i="1"/>
  <c r="Y858" i="1"/>
  <c r="X858" i="1"/>
  <c r="AX858" i="1"/>
  <c r="AW858" i="1"/>
  <c r="AV858" i="1"/>
  <c r="AU858" i="1"/>
  <c r="AT858" i="1"/>
  <c r="Y857" i="1"/>
  <c r="X857" i="1"/>
  <c r="AX857" i="1"/>
  <c r="AW857" i="1"/>
  <c r="AV857" i="1"/>
  <c r="AU857" i="1"/>
  <c r="AT857" i="1"/>
  <c r="Y856" i="1"/>
  <c r="X856" i="1"/>
  <c r="AX856" i="1"/>
  <c r="AW856" i="1"/>
  <c r="AV856" i="1"/>
  <c r="AU856" i="1"/>
  <c r="AT856" i="1"/>
  <c r="Y855" i="1"/>
  <c r="X855" i="1"/>
  <c r="AX855" i="1"/>
  <c r="AW855" i="1"/>
  <c r="AV855" i="1"/>
  <c r="AU855" i="1"/>
  <c r="AT855" i="1"/>
  <c r="Y854" i="1"/>
  <c r="X854" i="1"/>
  <c r="AX854" i="1"/>
  <c r="AW854" i="1"/>
  <c r="AV854" i="1"/>
  <c r="AU854" i="1"/>
  <c r="AT854" i="1"/>
  <c r="Y853" i="1"/>
  <c r="X853" i="1"/>
  <c r="AX853" i="1"/>
  <c r="AW853" i="1"/>
  <c r="AV853" i="1"/>
  <c r="AU853" i="1"/>
  <c r="AT853" i="1"/>
  <c r="Y852" i="1"/>
  <c r="X852" i="1"/>
  <c r="AX852" i="1"/>
  <c r="AW852" i="1"/>
  <c r="AV852" i="1"/>
  <c r="AU852" i="1"/>
  <c r="AT852" i="1"/>
  <c r="Y851" i="1"/>
  <c r="X851" i="1"/>
  <c r="AX851" i="1"/>
  <c r="AW851" i="1"/>
  <c r="AV851" i="1"/>
  <c r="AU851" i="1"/>
  <c r="AT851" i="1"/>
  <c r="Y850" i="1"/>
  <c r="X850" i="1"/>
  <c r="AX850" i="1"/>
  <c r="AW850" i="1"/>
  <c r="AV850" i="1"/>
  <c r="AU850" i="1"/>
  <c r="AT850" i="1"/>
  <c r="Y849" i="1"/>
  <c r="X849" i="1"/>
  <c r="AX849" i="1"/>
  <c r="AW849" i="1"/>
  <c r="AV849" i="1"/>
  <c r="AU849" i="1"/>
  <c r="AT849" i="1"/>
  <c r="Y848" i="1"/>
  <c r="X848" i="1"/>
  <c r="AX848" i="1"/>
  <c r="AW848" i="1"/>
  <c r="AV848" i="1"/>
  <c r="AU848" i="1"/>
  <c r="AT848" i="1"/>
  <c r="Y847" i="1"/>
  <c r="X847" i="1"/>
  <c r="AX847" i="1"/>
  <c r="AW847" i="1"/>
  <c r="AV847" i="1"/>
  <c r="AU847" i="1"/>
  <c r="AT847" i="1"/>
  <c r="Y846" i="1"/>
  <c r="X846" i="1"/>
  <c r="AX846" i="1"/>
  <c r="AW846" i="1"/>
  <c r="AV846" i="1"/>
  <c r="AU846" i="1"/>
  <c r="AT846" i="1"/>
  <c r="Y845" i="1"/>
  <c r="X845" i="1"/>
  <c r="AX845" i="1"/>
  <c r="AW845" i="1"/>
  <c r="AV845" i="1"/>
  <c r="AU845" i="1"/>
  <c r="AT845" i="1"/>
  <c r="Y844" i="1"/>
  <c r="X844" i="1"/>
  <c r="AX844" i="1"/>
  <c r="AW844" i="1"/>
  <c r="AV844" i="1"/>
  <c r="AU844" i="1"/>
  <c r="AT844" i="1"/>
  <c r="Y843" i="1"/>
  <c r="X843" i="1"/>
  <c r="AX843" i="1"/>
  <c r="AW843" i="1"/>
  <c r="AV843" i="1"/>
  <c r="AU843" i="1"/>
  <c r="AT843" i="1"/>
  <c r="Y842" i="1"/>
  <c r="X842" i="1"/>
  <c r="AX842" i="1"/>
  <c r="AW842" i="1"/>
  <c r="AV842" i="1"/>
  <c r="AU842" i="1"/>
  <c r="AT842" i="1"/>
  <c r="Y841" i="1"/>
  <c r="X841" i="1"/>
  <c r="AX841" i="1"/>
  <c r="AW841" i="1"/>
  <c r="AV841" i="1"/>
  <c r="AU841" i="1"/>
  <c r="AT841" i="1"/>
  <c r="Y840" i="1"/>
  <c r="X840" i="1"/>
  <c r="AX840" i="1"/>
  <c r="AW840" i="1"/>
  <c r="AV840" i="1"/>
  <c r="AU840" i="1"/>
  <c r="AT840" i="1"/>
  <c r="Y839" i="1"/>
  <c r="X839" i="1"/>
  <c r="AX839" i="1"/>
  <c r="AW839" i="1"/>
  <c r="AV839" i="1"/>
  <c r="AU839" i="1"/>
  <c r="AT839" i="1"/>
  <c r="Y838" i="1"/>
  <c r="X838" i="1"/>
  <c r="AX838" i="1"/>
  <c r="AW838" i="1"/>
  <c r="AV838" i="1"/>
  <c r="AU838" i="1"/>
  <c r="AT838" i="1"/>
  <c r="Y837" i="1"/>
  <c r="X837" i="1"/>
  <c r="AX837" i="1"/>
  <c r="AW837" i="1"/>
  <c r="AV837" i="1"/>
  <c r="AU837" i="1"/>
  <c r="AT837" i="1"/>
  <c r="Y836" i="1"/>
  <c r="X836" i="1"/>
  <c r="AX836" i="1"/>
  <c r="AW836" i="1"/>
  <c r="AV836" i="1"/>
  <c r="AU836" i="1"/>
  <c r="AT836" i="1"/>
  <c r="Y835" i="1"/>
  <c r="X835" i="1"/>
  <c r="AX835" i="1"/>
  <c r="AW835" i="1"/>
  <c r="AV835" i="1"/>
  <c r="AU835" i="1"/>
  <c r="AT835" i="1"/>
  <c r="Y834" i="1"/>
  <c r="X834" i="1"/>
  <c r="AX834" i="1"/>
  <c r="AW834" i="1"/>
  <c r="AV834" i="1"/>
  <c r="AU834" i="1"/>
  <c r="AT834" i="1"/>
  <c r="Y833" i="1"/>
  <c r="X833" i="1"/>
  <c r="AX833" i="1"/>
  <c r="AW833" i="1"/>
  <c r="AV833" i="1"/>
  <c r="AU833" i="1"/>
  <c r="AT833" i="1"/>
  <c r="Y832" i="1"/>
  <c r="X832" i="1"/>
  <c r="AX832" i="1"/>
  <c r="AW832" i="1"/>
  <c r="AV832" i="1"/>
  <c r="AU832" i="1"/>
  <c r="AT832" i="1"/>
  <c r="Y831" i="1"/>
  <c r="X831" i="1"/>
  <c r="AX831" i="1"/>
  <c r="AW831" i="1"/>
  <c r="AV831" i="1"/>
  <c r="AU831" i="1"/>
  <c r="AT831" i="1"/>
  <c r="Y830" i="1"/>
  <c r="X830" i="1"/>
  <c r="AX830" i="1"/>
  <c r="AW830" i="1"/>
  <c r="AV830" i="1"/>
  <c r="AU830" i="1"/>
  <c r="AT830" i="1"/>
  <c r="Y829" i="1"/>
  <c r="X829" i="1"/>
  <c r="AX829" i="1"/>
  <c r="AW829" i="1"/>
  <c r="AV829" i="1"/>
  <c r="AU829" i="1"/>
  <c r="AT829" i="1"/>
  <c r="Y827" i="1"/>
  <c r="X827" i="1"/>
  <c r="AX827" i="1"/>
  <c r="AW827" i="1"/>
  <c r="AV827" i="1"/>
  <c r="AU827" i="1"/>
  <c r="AT827" i="1"/>
  <c r="Y826" i="1"/>
  <c r="X826" i="1"/>
  <c r="AX826" i="1"/>
  <c r="AW826" i="1"/>
  <c r="AV826" i="1"/>
  <c r="AU826" i="1"/>
  <c r="AT826" i="1"/>
  <c r="Y825" i="1"/>
  <c r="X825" i="1"/>
  <c r="AX825" i="1"/>
  <c r="AW825" i="1"/>
  <c r="AV825" i="1"/>
  <c r="AU825" i="1"/>
  <c r="AT825" i="1"/>
  <c r="Y824" i="1"/>
  <c r="X824" i="1"/>
  <c r="AX824" i="1"/>
  <c r="AW824" i="1"/>
  <c r="AV824" i="1"/>
  <c r="AU824" i="1"/>
  <c r="AT824" i="1"/>
  <c r="Y823" i="1"/>
  <c r="X823" i="1"/>
  <c r="AX823" i="1"/>
  <c r="AW823" i="1"/>
  <c r="AV823" i="1"/>
  <c r="AU823" i="1"/>
  <c r="AT823" i="1"/>
  <c r="Y822" i="1"/>
  <c r="X822" i="1"/>
  <c r="AX822" i="1"/>
  <c r="AW822" i="1"/>
  <c r="AV822" i="1"/>
  <c r="AU822" i="1"/>
  <c r="AT822" i="1"/>
  <c r="Y821" i="1"/>
  <c r="X821" i="1"/>
  <c r="AX821" i="1"/>
  <c r="AW821" i="1"/>
  <c r="AV821" i="1"/>
  <c r="AU821" i="1"/>
  <c r="AT821" i="1"/>
  <c r="Y820" i="1"/>
  <c r="X820" i="1"/>
  <c r="AX820" i="1"/>
  <c r="AW820" i="1"/>
  <c r="AV820" i="1"/>
  <c r="AU820" i="1"/>
  <c r="AT820" i="1"/>
  <c r="Y819" i="1"/>
  <c r="X819" i="1"/>
  <c r="AX819" i="1"/>
  <c r="AW819" i="1"/>
  <c r="AV819" i="1"/>
  <c r="AU819" i="1"/>
  <c r="AT819" i="1"/>
  <c r="Y818" i="1"/>
  <c r="X818" i="1"/>
  <c r="AX818" i="1"/>
  <c r="AW818" i="1"/>
  <c r="AV818" i="1"/>
  <c r="AU818" i="1"/>
  <c r="AT818" i="1"/>
  <c r="Y817" i="1"/>
  <c r="X817" i="1"/>
  <c r="AX817" i="1"/>
  <c r="AW817" i="1"/>
  <c r="AV817" i="1"/>
  <c r="AU817" i="1"/>
  <c r="AT817" i="1"/>
  <c r="Y816" i="1"/>
  <c r="X816" i="1"/>
  <c r="AX816" i="1"/>
  <c r="AW816" i="1"/>
  <c r="AV816" i="1"/>
  <c r="AU816" i="1"/>
  <c r="AT816" i="1"/>
  <c r="Y815" i="1"/>
  <c r="X815" i="1"/>
  <c r="AX815" i="1"/>
  <c r="AW815" i="1"/>
  <c r="AV815" i="1"/>
  <c r="AU815" i="1"/>
  <c r="AT815" i="1"/>
  <c r="Y814" i="1"/>
  <c r="X814" i="1"/>
  <c r="AX814" i="1"/>
  <c r="AW814" i="1"/>
  <c r="AV814" i="1"/>
  <c r="AU814" i="1"/>
  <c r="AT814" i="1"/>
  <c r="Y813" i="1"/>
  <c r="X813" i="1"/>
  <c r="AX813" i="1"/>
  <c r="AW813" i="1"/>
  <c r="AV813" i="1"/>
  <c r="AU813" i="1"/>
  <c r="AT813" i="1"/>
  <c r="Y812" i="1"/>
  <c r="X812" i="1"/>
  <c r="AX812" i="1"/>
  <c r="AW812" i="1"/>
  <c r="AV812" i="1"/>
  <c r="AU812" i="1"/>
  <c r="AT812" i="1"/>
  <c r="Y811" i="1"/>
  <c r="X811" i="1"/>
  <c r="AX811" i="1"/>
  <c r="AW811" i="1"/>
  <c r="AV811" i="1"/>
  <c r="AU811" i="1"/>
  <c r="AT811" i="1"/>
  <c r="Y810" i="1"/>
  <c r="X810" i="1"/>
  <c r="AX810" i="1"/>
  <c r="AW810" i="1"/>
  <c r="AV810" i="1"/>
  <c r="AU810" i="1"/>
  <c r="AT810" i="1"/>
  <c r="Y808" i="1"/>
  <c r="X808" i="1"/>
  <c r="AX808" i="1"/>
  <c r="AW808" i="1"/>
  <c r="AV808" i="1"/>
  <c r="AU808" i="1"/>
  <c r="AT808" i="1"/>
  <c r="Y807" i="1"/>
  <c r="X807" i="1"/>
  <c r="AX807" i="1"/>
  <c r="AW807" i="1"/>
  <c r="AV807" i="1"/>
  <c r="AU807" i="1"/>
  <c r="AT807" i="1"/>
  <c r="Y806" i="1"/>
  <c r="X806" i="1"/>
  <c r="AX806" i="1"/>
  <c r="AW806" i="1"/>
  <c r="AV806" i="1"/>
  <c r="AU806" i="1"/>
  <c r="AT806" i="1"/>
  <c r="Y805" i="1"/>
  <c r="X805" i="1"/>
  <c r="AX805" i="1"/>
  <c r="AW805" i="1"/>
  <c r="AV805" i="1"/>
  <c r="AU805" i="1"/>
  <c r="AT805" i="1"/>
  <c r="Y804" i="1"/>
  <c r="X804" i="1"/>
  <c r="AX804" i="1"/>
  <c r="AW804" i="1"/>
  <c r="AV804" i="1"/>
  <c r="AU804" i="1"/>
  <c r="AT804" i="1"/>
  <c r="Y803" i="1"/>
  <c r="X803" i="1"/>
  <c r="AX803" i="1"/>
  <c r="AW803" i="1"/>
  <c r="AV803" i="1"/>
  <c r="AU803" i="1"/>
  <c r="AT803" i="1"/>
  <c r="Y802" i="1"/>
  <c r="X802" i="1"/>
  <c r="AX802" i="1"/>
  <c r="AW802" i="1"/>
  <c r="AV802" i="1"/>
  <c r="AU802" i="1"/>
  <c r="AT802" i="1"/>
  <c r="Y801" i="1"/>
  <c r="X801" i="1"/>
  <c r="AX801" i="1"/>
  <c r="AW801" i="1"/>
  <c r="AV801" i="1"/>
  <c r="AU801" i="1"/>
  <c r="AT801" i="1"/>
  <c r="Y800" i="1"/>
  <c r="X800" i="1"/>
  <c r="AX800" i="1"/>
  <c r="AW800" i="1"/>
  <c r="AV800" i="1"/>
  <c r="AU800" i="1"/>
  <c r="AT800" i="1"/>
  <c r="Y799" i="1"/>
  <c r="X799" i="1"/>
  <c r="AX799" i="1"/>
  <c r="AW799" i="1"/>
  <c r="AV799" i="1"/>
  <c r="AU799" i="1"/>
  <c r="AT799" i="1"/>
  <c r="Y798" i="1"/>
  <c r="X798" i="1"/>
  <c r="AX798" i="1"/>
  <c r="AW798" i="1"/>
  <c r="AV798" i="1"/>
  <c r="AU798" i="1"/>
  <c r="AT798" i="1"/>
  <c r="Y797" i="1"/>
  <c r="X797" i="1"/>
  <c r="AX797" i="1"/>
  <c r="AW797" i="1"/>
  <c r="AV797" i="1"/>
  <c r="AU797" i="1"/>
  <c r="AT797" i="1"/>
  <c r="Y796" i="1"/>
  <c r="X796" i="1"/>
  <c r="AX796" i="1"/>
  <c r="AW796" i="1"/>
  <c r="AV796" i="1"/>
  <c r="AU796" i="1"/>
  <c r="AT796" i="1"/>
  <c r="Y795" i="1"/>
  <c r="X795" i="1"/>
  <c r="AX795" i="1"/>
  <c r="AW795" i="1"/>
  <c r="AV795" i="1"/>
  <c r="AU795" i="1"/>
  <c r="AT795" i="1"/>
  <c r="Y794" i="1"/>
  <c r="X794" i="1"/>
  <c r="AX794" i="1"/>
  <c r="AW794" i="1"/>
  <c r="AV794" i="1"/>
  <c r="AU794" i="1"/>
  <c r="AT794" i="1"/>
  <c r="Y793" i="1"/>
  <c r="X793" i="1"/>
  <c r="AX793" i="1"/>
  <c r="AW793" i="1"/>
  <c r="AV793" i="1"/>
  <c r="AU793" i="1"/>
  <c r="AT793" i="1"/>
  <c r="Y792" i="1"/>
  <c r="X792" i="1"/>
  <c r="AX792" i="1"/>
  <c r="AW792" i="1"/>
  <c r="AV792" i="1"/>
  <c r="AU792" i="1"/>
  <c r="AT792" i="1"/>
  <c r="Y791" i="1"/>
  <c r="X791" i="1"/>
  <c r="AX791" i="1"/>
  <c r="AW791" i="1"/>
  <c r="AV791" i="1"/>
  <c r="AU791" i="1"/>
  <c r="AT791" i="1"/>
  <c r="Y790" i="1"/>
  <c r="X790" i="1"/>
  <c r="AX790" i="1"/>
  <c r="AW790" i="1"/>
  <c r="AV790" i="1"/>
  <c r="AU790" i="1"/>
  <c r="AT790" i="1"/>
  <c r="Y789" i="1"/>
  <c r="X789" i="1"/>
  <c r="AX789" i="1"/>
  <c r="AW789" i="1"/>
  <c r="AV789" i="1"/>
  <c r="AU789" i="1"/>
  <c r="AT789" i="1"/>
  <c r="Y788" i="1"/>
  <c r="X788" i="1"/>
  <c r="AX788" i="1"/>
  <c r="AW788" i="1"/>
  <c r="AV788" i="1"/>
  <c r="AU788" i="1"/>
  <c r="AT788" i="1"/>
  <c r="Y787" i="1"/>
  <c r="X787" i="1"/>
  <c r="AX787" i="1"/>
  <c r="AW787" i="1"/>
  <c r="AV787" i="1"/>
  <c r="AU787" i="1"/>
  <c r="AT787" i="1"/>
  <c r="Y786" i="1"/>
  <c r="X786" i="1"/>
  <c r="AX786" i="1"/>
  <c r="AW786" i="1"/>
  <c r="AV786" i="1"/>
  <c r="AU786" i="1"/>
  <c r="AT786" i="1"/>
  <c r="Y785" i="1"/>
  <c r="X785" i="1"/>
  <c r="AX785" i="1"/>
  <c r="AW785" i="1"/>
  <c r="AV785" i="1"/>
  <c r="AU785" i="1"/>
  <c r="AT785" i="1"/>
  <c r="Y784" i="1"/>
  <c r="X784" i="1"/>
  <c r="AX784" i="1"/>
  <c r="AW784" i="1"/>
  <c r="AV784" i="1"/>
  <c r="AU784" i="1"/>
  <c r="AT784" i="1"/>
  <c r="Y783" i="1"/>
  <c r="X783" i="1"/>
  <c r="AX783" i="1"/>
  <c r="AW783" i="1"/>
  <c r="AV783" i="1"/>
  <c r="AU783" i="1"/>
  <c r="AT783" i="1"/>
  <c r="Y782" i="1"/>
  <c r="X782" i="1"/>
  <c r="AX782" i="1"/>
  <c r="AW782" i="1"/>
  <c r="AV782" i="1"/>
  <c r="AU782" i="1"/>
  <c r="AT782" i="1"/>
  <c r="Y781" i="1"/>
  <c r="X781" i="1"/>
  <c r="AX781" i="1"/>
  <c r="AW781" i="1"/>
  <c r="AV781" i="1"/>
  <c r="AU781" i="1"/>
  <c r="AT781" i="1"/>
  <c r="Y780" i="1"/>
  <c r="X780" i="1"/>
  <c r="AX780" i="1"/>
  <c r="AW780" i="1"/>
  <c r="AV780" i="1"/>
  <c r="AU780" i="1"/>
  <c r="AT780" i="1"/>
  <c r="Y779" i="1"/>
  <c r="X779" i="1"/>
  <c r="AX779" i="1"/>
  <c r="AW779" i="1"/>
  <c r="AV779" i="1"/>
  <c r="AU779" i="1"/>
  <c r="AT779" i="1"/>
  <c r="Y778" i="1"/>
  <c r="X778" i="1"/>
  <c r="AX778" i="1"/>
  <c r="AW778" i="1"/>
  <c r="AV778" i="1"/>
  <c r="AU778" i="1"/>
  <c r="AT778" i="1"/>
  <c r="Y777" i="1"/>
  <c r="X777" i="1"/>
  <c r="AX777" i="1"/>
  <c r="AW777" i="1"/>
  <c r="AV777" i="1"/>
  <c r="AU777" i="1"/>
  <c r="AT777" i="1"/>
  <c r="Y776" i="1"/>
  <c r="X776" i="1"/>
  <c r="AX776" i="1"/>
  <c r="AW776" i="1"/>
  <c r="AV776" i="1"/>
  <c r="AU776" i="1"/>
  <c r="AT776" i="1"/>
  <c r="Y775" i="1"/>
  <c r="X775" i="1"/>
  <c r="AX775" i="1"/>
  <c r="AW775" i="1"/>
  <c r="AV775" i="1"/>
  <c r="AU775" i="1"/>
  <c r="AT775" i="1"/>
  <c r="Y774" i="1"/>
  <c r="X774" i="1"/>
  <c r="AX774" i="1"/>
  <c r="AW774" i="1"/>
  <c r="AV774" i="1"/>
  <c r="AU774" i="1"/>
  <c r="AT774" i="1"/>
  <c r="Y772" i="1"/>
  <c r="X772" i="1"/>
  <c r="AX772" i="1"/>
  <c r="AW772" i="1"/>
  <c r="AV772" i="1"/>
  <c r="AU772" i="1"/>
  <c r="AT772" i="1"/>
  <c r="Y771" i="1"/>
  <c r="X771" i="1"/>
  <c r="AX771" i="1"/>
  <c r="AW771" i="1"/>
  <c r="AV771" i="1"/>
  <c r="AU771" i="1"/>
  <c r="AT771" i="1"/>
  <c r="Y770" i="1"/>
  <c r="X770" i="1"/>
  <c r="AX770" i="1"/>
  <c r="AW770" i="1"/>
  <c r="AV770" i="1"/>
  <c r="AU770" i="1"/>
  <c r="AT770" i="1"/>
  <c r="Y769" i="1"/>
  <c r="X769" i="1"/>
  <c r="AX769" i="1"/>
  <c r="AW769" i="1"/>
  <c r="AV769" i="1"/>
  <c r="AU769" i="1"/>
  <c r="AT769" i="1"/>
  <c r="Y768" i="1"/>
  <c r="X768" i="1"/>
  <c r="AX768" i="1"/>
  <c r="AW768" i="1"/>
  <c r="AV768" i="1"/>
  <c r="AU768" i="1"/>
  <c r="AT768" i="1"/>
  <c r="Y767" i="1"/>
  <c r="X767" i="1"/>
  <c r="AX767" i="1"/>
  <c r="AW767" i="1"/>
  <c r="AV767" i="1"/>
  <c r="AU767" i="1"/>
  <c r="AT767" i="1"/>
  <c r="Y766" i="1"/>
  <c r="X766" i="1"/>
  <c r="AX766" i="1"/>
  <c r="AW766" i="1"/>
  <c r="AV766" i="1"/>
  <c r="AU766" i="1"/>
  <c r="AT766" i="1"/>
  <c r="Y765" i="1"/>
  <c r="X765" i="1"/>
  <c r="AX765" i="1"/>
  <c r="AW765" i="1"/>
  <c r="AV765" i="1"/>
  <c r="AU765" i="1"/>
  <c r="AT765" i="1"/>
  <c r="Y764" i="1"/>
  <c r="X764" i="1"/>
  <c r="AX764" i="1"/>
  <c r="AW764" i="1"/>
  <c r="AV764" i="1"/>
  <c r="AU764" i="1"/>
  <c r="AT764" i="1"/>
  <c r="Y763" i="1"/>
  <c r="X763" i="1"/>
  <c r="AX763" i="1"/>
  <c r="AW763" i="1"/>
  <c r="AV763" i="1"/>
  <c r="AU763" i="1"/>
  <c r="AT763" i="1"/>
  <c r="Y762" i="1"/>
  <c r="X762" i="1"/>
  <c r="AX762" i="1"/>
  <c r="AW762" i="1"/>
  <c r="AV762" i="1"/>
  <c r="AU762" i="1"/>
  <c r="AT762" i="1"/>
  <c r="Y761" i="1"/>
  <c r="X761" i="1"/>
  <c r="AX761" i="1"/>
  <c r="AW761" i="1"/>
  <c r="AV761" i="1"/>
  <c r="AU761" i="1"/>
  <c r="AT761" i="1"/>
  <c r="Y760" i="1"/>
  <c r="X760" i="1"/>
  <c r="AX760" i="1"/>
  <c r="AW760" i="1"/>
  <c r="AV760" i="1"/>
  <c r="AU760" i="1"/>
  <c r="AT760" i="1"/>
  <c r="Y759" i="1"/>
  <c r="X759" i="1"/>
  <c r="AX759" i="1"/>
  <c r="AW759" i="1"/>
  <c r="AV759" i="1"/>
  <c r="AU759" i="1"/>
  <c r="AT759" i="1"/>
  <c r="Y758" i="1"/>
  <c r="X758" i="1"/>
  <c r="AX758" i="1"/>
  <c r="AW758" i="1"/>
  <c r="AV758" i="1"/>
  <c r="AU758" i="1"/>
  <c r="AT758" i="1"/>
  <c r="Y757" i="1"/>
  <c r="X757" i="1"/>
  <c r="AX757" i="1"/>
  <c r="AW757" i="1"/>
  <c r="AV757" i="1"/>
  <c r="AU757" i="1"/>
  <c r="AT757" i="1"/>
  <c r="Y756" i="1"/>
  <c r="X756" i="1"/>
  <c r="AX756" i="1"/>
  <c r="AW756" i="1"/>
  <c r="AV756" i="1"/>
  <c r="AU756" i="1"/>
  <c r="AT756" i="1"/>
  <c r="Y755" i="1"/>
  <c r="X755" i="1"/>
  <c r="AX755" i="1"/>
  <c r="AW755" i="1"/>
  <c r="AV755" i="1"/>
  <c r="AU755" i="1"/>
  <c r="AT755" i="1"/>
  <c r="Y754" i="1"/>
  <c r="X754" i="1"/>
  <c r="AX754" i="1"/>
  <c r="AW754" i="1"/>
  <c r="AV754" i="1"/>
  <c r="AU754" i="1"/>
  <c r="AT754" i="1"/>
  <c r="Y753" i="1"/>
  <c r="X753" i="1"/>
  <c r="AX753" i="1"/>
  <c r="AW753" i="1"/>
  <c r="AV753" i="1"/>
  <c r="AU753" i="1"/>
  <c r="AT753" i="1"/>
  <c r="Y752" i="1"/>
  <c r="X752" i="1"/>
  <c r="AX752" i="1"/>
  <c r="AW752" i="1"/>
  <c r="AV752" i="1"/>
  <c r="AU752" i="1"/>
  <c r="AT752" i="1"/>
  <c r="Y751" i="1"/>
  <c r="X751" i="1"/>
  <c r="AX751" i="1"/>
  <c r="AW751" i="1"/>
  <c r="AV751" i="1"/>
  <c r="AU751" i="1"/>
  <c r="AT751" i="1"/>
  <c r="Y750" i="1"/>
  <c r="X750" i="1"/>
  <c r="AX750" i="1"/>
  <c r="AW750" i="1"/>
  <c r="AV750" i="1"/>
  <c r="AU750" i="1"/>
  <c r="AT750" i="1"/>
  <c r="Y749" i="1"/>
  <c r="X749" i="1"/>
  <c r="AX749" i="1"/>
  <c r="AW749" i="1"/>
  <c r="AV749" i="1"/>
  <c r="AU749" i="1"/>
  <c r="AT749" i="1"/>
  <c r="Y748" i="1"/>
  <c r="X748" i="1"/>
  <c r="AX748" i="1"/>
  <c r="AW748" i="1"/>
  <c r="AV748" i="1"/>
  <c r="AU748" i="1"/>
  <c r="AT748" i="1"/>
  <c r="Y747" i="1"/>
  <c r="X747" i="1"/>
  <c r="AX747" i="1"/>
  <c r="AW747" i="1"/>
  <c r="AV747" i="1"/>
  <c r="AU747" i="1"/>
  <c r="AT747" i="1"/>
  <c r="Y746" i="1"/>
  <c r="X746" i="1"/>
  <c r="AX746" i="1"/>
  <c r="AW746" i="1"/>
  <c r="AV746" i="1"/>
  <c r="AU746" i="1"/>
  <c r="AT746" i="1"/>
  <c r="Y745" i="1"/>
  <c r="X745" i="1"/>
  <c r="AX745" i="1"/>
  <c r="AW745" i="1"/>
  <c r="AV745" i="1"/>
  <c r="AU745" i="1"/>
  <c r="AT745" i="1"/>
  <c r="Y744" i="1"/>
  <c r="X744" i="1"/>
  <c r="AX744" i="1"/>
  <c r="AW744" i="1"/>
  <c r="AV744" i="1"/>
  <c r="AU744" i="1"/>
  <c r="AT744" i="1"/>
  <c r="Y743" i="1"/>
  <c r="X743" i="1"/>
  <c r="AX743" i="1"/>
  <c r="AW743" i="1"/>
  <c r="AV743" i="1"/>
  <c r="AU743" i="1"/>
  <c r="AT743" i="1"/>
  <c r="Y742" i="1"/>
  <c r="X742" i="1"/>
  <c r="AX742" i="1"/>
  <c r="AW742" i="1"/>
  <c r="AV742" i="1"/>
  <c r="AU742" i="1"/>
  <c r="AT742" i="1"/>
  <c r="Y741" i="1"/>
  <c r="X741" i="1"/>
  <c r="AX741" i="1"/>
  <c r="AW741" i="1"/>
  <c r="AV741" i="1"/>
  <c r="AU741" i="1"/>
  <c r="AT741" i="1"/>
  <c r="Y740" i="1"/>
  <c r="X740" i="1"/>
  <c r="AX740" i="1"/>
  <c r="AW740" i="1"/>
  <c r="AV740" i="1"/>
  <c r="AU740" i="1"/>
  <c r="AT740" i="1"/>
  <c r="Y739" i="1"/>
  <c r="X739" i="1"/>
  <c r="AX739" i="1"/>
  <c r="AW739" i="1"/>
  <c r="AV739" i="1"/>
  <c r="AU739" i="1"/>
  <c r="AT739" i="1"/>
  <c r="Y738" i="1"/>
  <c r="X738" i="1"/>
  <c r="AX738" i="1"/>
  <c r="AW738" i="1"/>
  <c r="AV738" i="1"/>
  <c r="AU738" i="1"/>
  <c r="AT738" i="1"/>
  <c r="Y737" i="1"/>
  <c r="X737" i="1"/>
  <c r="AX737" i="1"/>
  <c r="AW737" i="1"/>
  <c r="AV737" i="1"/>
  <c r="AU737" i="1"/>
  <c r="AT737" i="1"/>
  <c r="Y736" i="1"/>
  <c r="X736" i="1"/>
  <c r="AX736" i="1"/>
  <c r="AW736" i="1"/>
  <c r="AV736" i="1"/>
  <c r="AU736" i="1"/>
  <c r="AT736" i="1"/>
  <c r="Y735" i="1"/>
  <c r="X735" i="1"/>
  <c r="AX735" i="1"/>
  <c r="AW735" i="1"/>
  <c r="AV735" i="1"/>
  <c r="AU735" i="1"/>
  <c r="AT735" i="1"/>
  <c r="Y734" i="1"/>
  <c r="X734" i="1"/>
  <c r="AX734" i="1"/>
  <c r="AW734" i="1"/>
  <c r="AV734" i="1"/>
  <c r="AU734" i="1"/>
  <c r="AT734" i="1"/>
  <c r="Y733" i="1"/>
  <c r="X733" i="1"/>
  <c r="AX733" i="1"/>
  <c r="AW733" i="1"/>
  <c r="AV733" i="1"/>
  <c r="AU733" i="1"/>
  <c r="AT733" i="1"/>
  <c r="Y732" i="1"/>
  <c r="X732" i="1"/>
  <c r="AX732" i="1"/>
  <c r="AW732" i="1"/>
  <c r="AV732" i="1"/>
  <c r="AU732" i="1"/>
  <c r="AT732" i="1"/>
  <c r="Y731" i="1"/>
  <c r="X731" i="1"/>
  <c r="AX731" i="1"/>
  <c r="AW731" i="1"/>
  <c r="AV731" i="1"/>
  <c r="AU731" i="1"/>
  <c r="AT731" i="1"/>
  <c r="Y730" i="1"/>
  <c r="X730" i="1"/>
  <c r="AX730" i="1"/>
  <c r="AW730" i="1"/>
  <c r="AV730" i="1"/>
  <c r="AU730" i="1"/>
  <c r="AT730" i="1"/>
  <c r="Y729" i="1"/>
  <c r="X729" i="1"/>
  <c r="AX729" i="1"/>
  <c r="AW729" i="1"/>
  <c r="AV729" i="1"/>
  <c r="AU729" i="1"/>
  <c r="AT729" i="1"/>
  <c r="Y728" i="1"/>
  <c r="X728" i="1"/>
  <c r="AX728" i="1"/>
  <c r="AW728" i="1"/>
  <c r="AV728" i="1"/>
  <c r="AU728" i="1"/>
  <c r="AT728" i="1"/>
  <c r="Y727" i="1"/>
  <c r="X727" i="1"/>
  <c r="AX727" i="1"/>
  <c r="AW727" i="1"/>
  <c r="AV727" i="1"/>
  <c r="AU727" i="1"/>
  <c r="AT727" i="1"/>
  <c r="Y726" i="1"/>
  <c r="X726" i="1"/>
  <c r="AX726" i="1"/>
  <c r="AW726" i="1"/>
  <c r="AV726" i="1"/>
  <c r="AU726" i="1"/>
  <c r="AT726" i="1"/>
  <c r="Y725" i="1"/>
  <c r="X725" i="1"/>
  <c r="AX725" i="1"/>
  <c r="AW725" i="1"/>
  <c r="AV725" i="1"/>
  <c r="AU725" i="1"/>
  <c r="AT725" i="1"/>
  <c r="Y724" i="1"/>
  <c r="X724" i="1"/>
  <c r="AX724" i="1"/>
  <c r="AW724" i="1"/>
  <c r="AV724" i="1"/>
  <c r="AU724" i="1"/>
  <c r="AT724" i="1"/>
  <c r="Y723" i="1"/>
  <c r="X723" i="1"/>
  <c r="AX723" i="1"/>
  <c r="AW723" i="1"/>
  <c r="AV723" i="1"/>
  <c r="AU723" i="1"/>
  <c r="AT723" i="1"/>
  <c r="Y722" i="1"/>
  <c r="X722" i="1"/>
  <c r="AX722" i="1"/>
  <c r="AW722" i="1"/>
  <c r="AV722" i="1"/>
  <c r="AU722" i="1"/>
  <c r="AT722" i="1"/>
  <c r="Y721" i="1"/>
  <c r="X721" i="1"/>
  <c r="AX721" i="1"/>
  <c r="AW721" i="1"/>
  <c r="AV721" i="1"/>
  <c r="AU721" i="1"/>
  <c r="AT721" i="1"/>
  <c r="Y720" i="1"/>
  <c r="X720" i="1"/>
  <c r="AX720" i="1"/>
  <c r="AW720" i="1"/>
  <c r="AV720" i="1"/>
  <c r="AU720" i="1"/>
  <c r="AT720" i="1"/>
  <c r="Y719" i="1"/>
  <c r="X719" i="1"/>
  <c r="AX719" i="1"/>
  <c r="AW719" i="1"/>
  <c r="AV719" i="1"/>
  <c r="AU719" i="1"/>
  <c r="AT719" i="1"/>
  <c r="Y718" i="1"/>
  <c r="X718" i="1"/>
  <c r="AX718" i="1"/>
  <c r="AW718" i="1"/>
  <c r="AV718" i="1"/>
  <c r="AU718" i="1"/>
  <c r="AT718" i="1"/>
  <c r="Y717" i="1"/>
  <c r="X717" i="1"/>
  <c r="AX717" i="1"/>
  <c r="AW717" i="1"/>
  <c r="AV717" i="1"/>
  <c r="AU717" i="1"/>
  <c r="AT717" i="1"/>
  <c r="Y716" i="1"/>
  <c r="X716" i="1"/>
  <c r="AX716" i="1"/>
  <c r="AW716" i="1"/>
  <c r="AV716" i="1"/>
  <c r="AU716" i="1"/>
  <c r="AT716" i="1"/>
  <c r="Y715" i="1"/>
  <c r="X715" i="1"/>
  <c r="AX715" i="1"/>
  <c r="AW715" i="1"/>
  <c r="AV715" i="1"/>
  <c r="AU715" i="1"/>
  <c r="AT715" i="1"/>
  <c r="Y714" i="1"/>
  <c r="X714" i="1"/>
  <c r="AX714" i="1"/>
  <c r="AW714" i="1"/>
  <c r="AV714" i="1"/>
  <c r="AU714" i="1"/>
  <c r="AT714" i="1"/>
  <c r="Y713" i="1"/>
  <c r="X713" i="1"/>
  <c r="AX713" i="1"/>
  <c r="AW713" i="1"/>
  <c r="AV713" i="1"/>
  <c r="AU713" i="1"/>
  <c r="AT713" i="1"/>
  <c r="A7" i="1"/>
  <c r="Y710" i="1"/>
  <c r="X710" i="1"/>
  <c r="AX710" i="1"/>
  <c r="AW710" i="1"/>
  <c r="AV710" i="1"/>
  <c r="AU710" i="1"/>
  <c r="AT710" i="1"/>
  <c r="Y709" i="1"/>
  <c r="X709" i="1"/>
  <c r="AX709" i="1"/>
  <c r="AW709" i="1"/>
  <c r="AV709" i="1"/>
  <c r="AU709" i="1"/>
  <c r="AT709" i="1"/>
  <c r="Y708" i="1"/>
  <c r="X708" i="1"/>
  <c r="AX708" i="1"/>
  <c r="AW708" i="1"/>
  <c r="AV708" i="1"/>
  <c r="AU708" i="1"/>
  <c r="AT708" i="1"/>
  <c r="Y707" i="1"/>
  <c r="X707" i="1"/>
  <c r="AX707" i="1"/>
  <c r="AW707" i="1"/>
  <c r="AV707" i="1"/>
  <c r="AU707" i="1"/>
  <c r="AT707" i="1"/>
  <c r="Y706" i="1"/>
  <c r="X706" i="1"/>
  <c r="AX706" i="1"/>
  <c r="AW706" i="1"/>
  <c r="AV706" i="1"/>
  <c r="AU706" i="1"/>
  <c r="AT706" i="1"/>
  <c r="Y705" i="1"/>
  <c r="X705" i="1"/>
  <c r="AX705" i="1"/>
  <c r="AW705" i="1"/>
  <c r="AV705" i="1"/>
  <c r="AU705" i="1"/>
  <c r="AT705" i="1"/>
  <c r="Y704" i="1"/>
  <c r="X704" i="1"/>
  <c r="AX704" i="1"/>
  <c r="AW704" i="1"/>
  <c r="AV704" i="1"/>
  <c r="AU704" i="1"/>
  <c r="AT704" i="1"/>
  <c r="Y702" i="1"/>
  <c r="X702" i="1"/>
  <c r="AX702" i="1"/>
  <c r="AW702" i="1"/>
  <c r="AV702" i="1"/>
  <c r="AU702" i="1"/>
  <c r="AT702" i="1"/>
  <c r="Y701" i="1"/>
  <c r="X701" i="1"/>
  <c r="AX701" i="1"/>
  <c r="AW701" i="1"/>
  <c r="AV701" i="1"/>
  <c r="AU701" i="1"/>
  <c r="AT701" i="1"/>
  <c r="Y700" i="1"/>
  <c r="X700" i="1"/>
  <c r="AX700" i="1"/>
  <c r="AW700" i="1"/>
  <c r="AV700" i="1"/>
  <c r="AU700" i="1"/>
  <c r="AT700" i="1"/>
  <c r="Y699" i="1"/>
  <c r="X699" i="1"/>
  <c r="AX699" i="1"/>
  <c r="AW699" i="1"/>
  <c r="AV699" i="1"/>
  <c r="AU699" i="1"/>
  <c r="AT699" i="1"/>
  <c r="Y698" i="1"/>
  <c r="X698" i="1"/>
  <c r="AX698" i="1"/>
  <c r="AW698" i="1"/>
  <c r="AV698" i="1"/>
  <c r="AU698" i="1"/>
  <c r="AT698" i="1"/>
  <c r="Y697" i="1"/>
  <c r="X697" i="1"/>
  <c r="AX697" i="1"/>
  <c r="AW697" i="1"/>
  <c r="AV697" i="1"/>
  <c r="AU697" i="1"/>
  <c r="AT697" i="1"/>
  <c r="Y696" i="1"/>
  <c r="X696" i="1"/>
  <c r="AX696" i="1"/>
  <c r="AW696" i="1"/>
  <c r="AV696" i="1"/>
  <c r="AU696" i="1"/>
  <c r="AT696" i="1"/>
  <c r="Y695" i="1"/>
  <c r="X695" i="1"/>
  <c r="AX695" i="1"/>
  <c r="AW695" i="1"/>
  <c r="AV695" i="1"/>
  <c r="AU695" i="1"/>
  <c r="AT695" i="1"/>
  <c r="Y694" i="1"/>
  <c r="X694" i="1"/>
  <c r="AX694" i="1"/>
  <c r="AW694" i="1"/>
  <c r="AV694" i="1"/>
  <c r="AU694" i="1"/>
  <c r="AT694" i="1"/>
  <c r="Y693" i="1"/>
  <c r="X693" i="1"/>
  <c r="AX693" i="1"/>
  <c r="AW693" i="1"/>
  <c r="AV693" i="1"/>
  <c r="AU693" i="1"/>
  <c r="AT693" i="1"/>
  <c r="Y692" i="1"/>
  <c r="X692" i="1"/>
  <c r="AX692" i="1"/>
  <c r="AW692" i="1"/>
  <c r="AV692" i="1"/>
  <c r="AU692" i="1"/>
  <c r="AT692" i="1"/>
  <c r="Y691" i="1"/>
  <c r="X691" i="1"/>
  <c r="AX691" i="1"/>
  <c r="AW691" i="1"/>
  <c r="AV691" i="1"/>
  <c r="AU691" i="1"/>
  <c r="AT691" i="1"/>
  <c r="Y690" i="1"/>
  <c r="X690" i="1"/>
  <c r="AX690" i="1"/>
  <c r="AW690" i="1"/>
  <c r="AV690" i="1"/>
  <c r="AU690" i="1"/>
  <c r="AT690" i="1"/>
  <c r="Y689" i="1"/>
  <c r="X689" i="1"/>
  <c r="AX689" i="1"/>
  <c r="AW689" i="1"/>
  <c r="AV689" i="1"/>
  <c r="AU689" i="1"/>
  <c r="AT689" i="1"/>
  <c r="Y688" i="1"/>
  <c r="X688" i="1"/>
  <c r="AX688" i="1"/>
  <c r="AW688" i="1"/>
  <c r="AV688" i="1"/>
  <c r="AU688" i="1"/>
  <c r="AT688" i="1"/>
  <c r="Y687" i="1"/>
  <c r="X687" i="1"/>
  <c r="AX687" i="1"/>
  <c r="AW687" i="1"/>
  <c r="AV687" i="1"/>
  <c r="AU687" i="1"/>
  <c r="AT687" i="1"/>
  <c r="Y686" i="1"/>
  <c r="X686" i="1"/>
  <c r="AX686" i="1"/>
  <c r="AW686" i="1"/>
  <c r="AV686" i="1"/>
  <c r="AU686" i="1"/>
  <c r="AT686" i="1"/>
  <c r="Y685" i="1"/>
  <c r="X685" i="1"/>
  <c r="AX685" i="1"/>
  <c r="AW685" i="1"/>
  <c r="AV685" i="1"/>
  <c r="AU685" i="1"/>
  <c r="AT685" i="1"/>
  <c r="Y684" i="1"/>
  <c r="X684" i="1"/>
  <c r="AX684" i="1"/>
  <c r="AW684" i="1"/>
  <c r="AV684" i="1"/>
  <c r="AU684" i="1"/>
  <c r="AT684" i="1"/>
  <c r="Y683" i="1"/>
  <c r="X683" i="1"/>
  <c r="AX683" i="1"/>
  <c r="AW683" i="1"/>
  <c r="AV683" i="1"/>
  <c r="AU683" i="1"/>
  <c r="AT683" i="1"/>
  <c r="Y682" i="1"/>
  <c r="X682" i="1"/>
  <c r="AX682" i="1"/>
  <c r="AW682" i="1"/>
  <c r="AV682" i="1"/>
  <c r="AU682" i="1"/>
  <c r="AT682" i="1"/>
  <c r="Y681" i="1"/>
  <c r="X681" i="1"/>
  <c r="AX681" i="1"/>
  <c r="AW681" i="1"/>
  <c r="AV681" i="1"/>
  <c r="AU681" i="1"/>
  <c r="AT681" i="1"/>
  <c r="Y680" i="1"/>
  <c r="X680" i="1"/>
  <c r="AX680" i="1"/>
  <c r="AW680" i="1"/>
  <c r="AV680" i="1"/>
  <c r="AU680" i="1"/>
  <c r="AT680" i="1"/>
  <c r="Y679" i="1"/>
  <c r="X679" i="1"/>
  <c r="AX679" i="1"/>
  <c r="AW679" i="1"/>
  <c r="AV679" i="1"/>
  <c r="AU679" i="1"/>
  <c r="AT679" i="1"/>
  <c r="Y678" i="1"/>
  <c r="X678" i="1"/>
  <c r="AX678" i="1"/>
  <c r="AW678" i="1"/>
  <c r="AV678" i="1"/>
  <c r="AU678" i="1"/>
  <c r="AT678" i="1"/>
  <c r="Y677" i="1"/>
  <c r="X677" i="1"/>
  <c r="AX677" i="1"/>
  <c r="AW677" i="1"/>
  <c r="AV677" i="1"/>
  <c r="AU677" i="1"/>
  <c r="AT677" i="1"/>
  <c r="Y676" i="1"/>
  <c r="X676" i="1"/>
  <c r="AX676" i="1"/>
  <c r="AW676" i="1"/>
  <c r="AV676" i="1"/>
  <c r="AU676" i="1"/>
  <c r="AT676" i="1"/>
  <c r="Y674" i="1"/>
  <c r="X674" i="1"/>
  <c r="AX674" i="1"/>
  <c r="AW674" i="1"/>
  <c r="AV674" i="1"/>
  <c r="AU674" i="1"/>
  <c r="AT674" i="1"/>
  <c r="Y673" i="1"/>
  <c r="X673" i="1"/>
  <c r="AX673" i="1"/>
  <c r="AW673" i="1"/>
  <c r="AV673" i="1"/>
  <c r="AU673" i="1"/>
  <c r="AT673" i="1"/>
  <c r="Y672" i="1"/>
  <c r="X672" i="1"/>
  <c r="AX672" i="1"/>
  <c r="AW672" i="1"/>
  <c r="AV672" i="1"/>
  <c r="AU672" i="1"/>
  <c r="AT672" i="1"/>
  <c r="Y671" i="1"/>
  <c r="X671" i="1"/>
  <c r="AX671" i="1"/>
  <c r="AW671" i="1"/>
  <c r="AV671" i="1"/>
  <c r="AU671" i="1"/>
  <c r="AT671" i="1"/>
  <c r="Y670" i="1"/>
  <c r="X670" i="1"/>
  <c r="AX670" i="1"/>
  <c r="AW670" i="1"/>
  <c r="AV670" i="1"/>
  <c r="AU670" i="1"/>
  <c r="AT670" i="1"/>
  <c r="Y669" i="1"/>
  <c r="X669" i="1"/>
  <c r="AX669" i="1"/>
  <c r="AW669" i="1"/>
  <c r="AV669" i="1"/>
  <c r="AU669" i="1"/>
  <c r="AT669" i="1"/>
  <c r="Y668" i="1"/>
  <c r="X668" i="1"/>
  <c r="AX668" i="1"/>
  <c r="AW668" i="1"/>
  <c r="AV668" i="1"/>
  <c r="AU668" i="1"/>
  <c r="AT668" i="1"/>
  <c r="Y667" i="1"/>
  <c r="X667" i="1"/>
  <c r="AX667" i="1"/>
  <c r="AW667" i="1"/>
  <c r="AV667" i="1"/>
  <c r="AU667" i="1"/>
  <c r="AT667" i="1"/>
  <c r="Y666" i="1"/>
  <c r="X666" i="1"/>
  <c r="AX666" i="1"/>
  <c r="AW666" i="1"/>
  <c r="AV666" i="1"/>
  <c r="AU666" i="1"/>
  <c r="AT666" i="1"/>
  <c r="Y664" i="1"/>
  <c r="X664" i="1"/>
  <c r="AX664" i="1"/>
  <c r="AW664" i="1"/>
  <c r="AV664" i="1"/>
  <c r="AU664" i="1"/>
  <c r="AT664" i="1"/>
  <c r="Y663" i="1"/>
  <c r="X663" i="1"/>
  <c r="AX663" i="1"/>
  <c r="AW663" i="1"/>
  <c r="AV663" i="1"/>
  <c r="AU663" i="1"/>
  <c r="AT663" i="1"/>
  <c r="Y662" i="1"/>
  <c r="X662" i="1"/>
  <c r="AX662" i="1"/>
  <c r="AW662" i="1"/>
  <c r="AV662" i="1"/>
  <c r="AU662" i="1"/>
  <c r="AT662" i="1"/>
  <c r="Y661" i="1"/>
  <c r="X661" i="1"/>
  <c r="AX661" i="1"/>
  <c r="AW661" i="1"/>
  <c r="AV661" i="1"/>
  <c r="AU661" i="1"/>
  <c r="AT661" i="1"/>
  <c r="Y660" i="1"/>
  <c r="X660" i="1"/>
  <c r="AX660" i="1"/>
  <c r="AW660" i="1"/>
  <c r="AV660" i="1"/>
  <c r="AU660" i="1"/>
  <c r="AT660" i="1"/>
  <c r="Y659" i="1"/>
  <c r="X659" i="1"/>
  <c r="AX659" i="1"/>
  <c r="AW659" i="1"/>
  <c r="AV659" i="1"/>
  <c r="AU659" i="1"/>
  <c r="AT659" i="1"/>
  <c r="Y658" i="1"/>
  <c r="X658" i="1"/>
  <c r="AX658" i="1"/>
  <c r="AW658" i="1"/>
  <c r="AV658" i="1"/>
  <c r="AU658" i="1"/>
  <c r="AT658" i="1"/>
  <c r="Y657" i="1"/>
  <c r="X657" i="1"/>
  <c r="AX657" i="1"/>
  <c r="AW657" i="1"/>
  <c r="AV657" i="1"/>
  <c r="AU657" i="1"/>
  <c r="AT657" i="1"/>
  <c r="Y656" i="1"/>
  <c r="X656" i="1"/>
  <c r="AX656" i="1"/>
  <c r="AW656" i="1"/>
  <c r="AV656" i="1"/>
  <c r="AU656" i="1"/>
  <c r="AT656" i="1"/>
  <c r="Y655" i="1"/>
  <c r="X655" i="1"/>
  <c r="AX655" i="1"/>
  <c r="AW655" i="1"/>
  <c r="AV655" i="1"/>
  <c r="AU655" i="1"/>
  <c r="AT655" i="1"/>
  <c r="Y654" i="1"/>
  <c r="X654" i="1"/>
  <c r="AX654" i="1"/>
  <c r="AW654" i="1"/>
  <c r="AV654" i="1"/>
  <c r="AU654" i="1"/>
  <c r="AT654" i="1"/>
  <c r="Y653" i="1"/>
  <c r="X653" i="1"/>
  <c r="AX653" i="1"/>
  <c r="AW653" i="1"/>
  <c r="AV653" i="1"/>
  <c r="AU653" i="1"/>
  <c r="AT653" i="1"/>
  <c r="Y652" i="1"/>
  <c r="X652" i="1"/>
  <c r="AX652" i="1"/>
  <c r="AW652" i="1"/>
  <c r="AV652" i="1"/>
  <c r="AU652" i="1"/>
  <c r="AT652" i="1"/>
  <c r="A6" i="1"/>
  <c r="Y649" i="1"/>
  <c r="X649" i="1"/>
  <c r="AX649" i="1"/>
  <c r="AW649" i="1"/>
  <c r="AV649" i="1"/>
  <c r="AU649" i="1"/>
  <c r="AT649" i="1"/>
  <c r="Y648" i="1"/>
  <c r="X648" i="1"/>
  <c r="AX648" i="1"/>
  <c r="AW648" i="1"/>
  <c r="AV648" i="1"/>
  <c r="AU648" i="1"/>
  <c r="AT648" i="1"/>
  <c r="Y647" i="1"/>
  <c r="X647" i="1"/>
  <c r="AX647" i="1"/>
  <c r="AW647" i="1"/>
  <c r="AV647" i="1"/>
  <c r="AU647" i="1"/>
  <c r="AT647" i="1"/>
  <c r="Y646" i="1"/>
  <c r="X646" i="1"/>
  <c r="AX646" i="1"/>
  <c r="AW646" i="1"/>
  <c r="AV646" i="1"/>
  <c r="AU646" i="1"/>
  <c r="AT646" i="1"/>
  <c r="Y645" i="1"/>
  <c r="X645" i="1"/>
  <c r="AX645" i="1"/>
  <c r="AW645" i="1"/>
  <c r="AV645" i="1"/>
  <c r="AU645" i="1"/>
  <c r="AT645" i="1"/>
  <c r="Y644" i="1"/>
  <c r="X644" i="1"/>
  <c r="AX644" i="1"/>
  <c r="AW644" i="1"/>
  <c r="AV644" i="1"/>
  <c r="AU644" i="1"/>
  <c r="AT644" i="1"/>
  <c r="Y643" i="1"/>
  <c r="X643" i="1"/>
  <c r="AX643" i="1"/>
  <c r="AW643" i="1"/>
  <c r="AV643" i="1"/>
  <c r="AU643" i="1"/>
  <c r="AT643" i="1"/>
  <c r="Y642" i="1"/>
  <c r="X642" i="1"/>
  <c r="AX642" i="1"/>
  <c r="AW642" i="1"/>
  <c r="AV642" i="1"/>
  <c r="AU642" i="1"/>
  <c r="AT642" i="1"/>
  <c r="Y641" i="1"/>
  <c r="X641" i="1"/>
  <c r="AX641" i="1"/>
  <c r="AW641" i="1"/>
  <c r="AV641" i="1"/>
  <c r="AU641" i="1"/>
  <c r="AT641" i="1"/>
  <c r="Y640" i="1"/>
  <c r="X640" i="1"/>
  <c r="AX640" i="1"/>
  <c r="AW640" i="1"/>
  <c r="AV640" i="1"/>
  <c r="AU640" i="1"/>
  <c r="AT640" i="1"/>
  <c r="Y639" i="1"/>
  <c r="X639" i="1"/>
  <c r="AX639" i="1"/>
  <c r="AW639" i="1"/>
  <c r="AV639" i="1"/>
  <c r="AU639" i="1"/>
  <c r="AT639" i="1"/>
  <c r="Y638" i="1"/>
  <c r="X638" i="1"/>
  <c r="AX638" i="1"/>
  <c r="AW638" i="1"/>
  <c r="AV638" i="1"/>
  <c r="AU638" i="1"/>
  <c r="AT638" i="1"/>
  <c r="Y637" i="1"/>
  <c r="X637" i="1"/>
  <c r="AX637" i="1"/>
  <c r="AW637" i="1"/>
  <c r="AV637" i="1"/>
  <c r="AU637" i="1"/>
  <c r="AT637" i="1"/>
  <c r="Y636" i="1"/>
  <c r="X636" i="1"/>
  <c r="AX636" i="1"/>
  <c r="AW636" i="1"/>
  <c r="AV636" i="1"/>
  <c r="AU636" i="1"/>
  <c r="AT636" i="1"/>
  <c r="Y635" i="1"/>
  <c r="X635" i="1"/>
  <c r="AX635" i="1"/>
  <c r="AW635" i="1"/>
  <c r="AV635" i="1"/>
  <c r="AU635" i="1"/>
  <c r="AT635" i="1"/>
  <c r="Y634" i="1"/>
  <c r="X634" i="1"/>
  <c r="AX634" i="1"/>
  <c r="AW634" i="1"/>
  <c r="AV634" i="1"/>
  <c r="AU634" i="1"/>
  <c r="AT634" i="1"/>
  <c r="Y633" i="1"/>
  <c r="X633" i="1"/>
  <c r="AX633" i="1"/>
  <c r="AW633" i="1"/>
  <c r="AV633" i="1"/>
  <c r="AU633" i="1"/>
  <c r="AT633" i="1"/>
  <c r="Y632" i="1"/>
  <c r="X632" i="1"/>
  <c r="AX632" i="1"/>
  <c r="AW632" i="1"/>
  <c r="AV632" i="1"/>
  <c r="AU632" i="1"/>
  <c r="AT632" i="1"/>
  <c r="Y631" i="1"/>
  <c r="X631" i="1"/>
  <c r="AX631" i="1"/>
  <c r="AW631" i="1"/>
  <c r="AV631" i="1"/>
  <c r="AU631" i="1"/>
  <c r="AT631" i="1"/>
  <c r="Y630" i="1"/>
  <c r="X630" i="1"/>
  <c r="AX630" i="1"/>
  <c r="AW630" i="1"/>
  <c r="AV630" i="1"/>
  <c r="AU630" i="1"/>
  <c r="AT630" i="1"/>
  <c r="Y629" i="1"/>
  <c r="X629" i="1"/>
  <c r="AX629" i="1"/>
  <c r="AW629" i="1"/>
  <c r="AV629" i="1"/>
  <c r="AU629" i="1"/>
  <c r="AT629" i="1"/>
  <c r="Y628" i="1"/>
  <c r="X628" i="1"/>
  <c r="AX628" i="1"/>
  <c r="AW628" i="1"/>
  <c r="AV628" i="1"/>
  <c r="AU628" i="1"/>
  <c r="AT628" i="1"/>
  <c r="Y627" i="1"/>
  <c r="X627" i="1"/>
  <c r="AX627" i="1"/>
  <c r="AW627" i="1"/>
  <c r="AV627" i="1"/>
  <c r="AU627" i="1"/>
  <c r="AT627" i="1"/>
  <c r="Y626" i="1"/>
  <c r="X626" i="1"/>
  <c r="AX626" i="1"/>
  <c r="AW626" i="1"/>
  <c r="AV626" i="1"/>
  <c r="AU626" i="1"/>
  <c r="AT626" i="1"/>
  <c r="Y625" i="1"/>
  <c r="X625" i="1"/>
  <c r="AX625" i="1"/>
  <c r="AW625" i="1"/>
  <c r="AV625" i="1"/>
  <c r="AU625" i="1"/>
  <c r="AT625" i="1"/>
  <c r="Y624" i="1"/>
  <c r="X624" i="1"/>
  <c r="AX624" i="1"/>
  <c r="AW624" i="1"/>
  <c r="AV624" i="1"/>
  <c r="AU624" i="1"/>
  <c r="AT624" i="1"/>
  <c r="Y623" i="1"/>
  <c r="X623" i="1"/>
  <c r="AX623" i="1"/>
  <c r="AW623" i="1"/>
  <c r="AV623" i="1"/>
  <c r="AU623" i="1"/>
  <c r="AT623" i="1"/>
  <c r="Y622" i="1"/>
  <c r="X622" i="1"/>
  <c r="AX622" i="1"/>
  <c r="AW622" i="1"/>
  <c r="AV622" i="1"/>
  <c r="AU622" i="1"/>
  <c r="AT622" i="1"/>
  <c r="Y621" i="1"/>
  <c r="X621" i="1"/>
  <c r="AX621" i="1"/>
  <c r="AW621" i="1"/>
  <c r="AV621" i="1"/>
  <c r="AU621" i="1"/>
  <c r="AT621" i="1"/>
  <c r="Y620" i="1"/>
  <c r="X620" i="1"/>
  <c r="AX620" i="1"/>
  <c r="AW620" i="1"/>
  <c r="AV620" i="1"/>
  <c r="AU620" i="1"/>
  <c r="AT620" i="1"/>
  <c r="Y619" i="1"/>
  <c r="X619" i="1"/>
  <c r="AX619" i="1"/>
  <c r="AW619" i="1"/>
  <c r="AV619" i="1"/>
  <c r="AU619" i="1"/>
  <c r="AT619" i="1"/>
  <c r="Y618" i="1"/>
  <c r="X618" i="1"/>
  <c r="AX618" i="1"/>
  <c r="AW618" i="1"/>
  <c r="AV618" i="1"/>
  <c r="AU618" i="1"/>
  <c r="AT618" i="1"/>
  <c r="Y617" i="1"/>
  <c r="X617" i="1"/>
  <c r="AX617" i="1"/>
  <c r="AW617" i="1"/>
  <c r="AV617" i="1"/>
  <c r="AU617" i="1"/>
  <c r="AT617" i="1"/>
  <c r="Y616" i="1"/>
  <c r="X616" i="1"/>
  <c r="AX616" i="1"/>
  <c r="AW616" i="1"/>
  <c r="AV616" i="1"/>
  <c r="AU616" i="1"/>
  <c r="AT616" i="1"/>
  <c r="Y615" i="1"/>
  <c r="X615" i="1"/>
  <c r="AX615" i="1"/>
  <c r="AW615" i="1"/>
  <c r="AV615" i="1"/>
  <c r="AU615" i="1"/>
  <c r="AT615" i="1"/>
  <c r="Y614" i="1"/>
  <c r="X614" i="1"/>
  <c r="AX614" i="1"/>
  <c r="AW614" i="1"/>
  <c r="AV614" i="1"/>
  <c r="AU614" i="1"/>
  <c r="AT614" i="1"/>
  <c r="Y613" i="1"/>
  <c r="X613" i="1"/>
  <c r="AX613" i="1"/>
  <c r="AW613" i="1"/>
  <c r="AV613" i="1"/>
  <c r="AU613" i="1"/>
  <c r="AT613" i="1"/>
  <c r="Y612" i="1"/>
  <c r="X612" i="1"/>
  <c r="AX612" i="1"/>
  <c r="AW612" i="1"/>
  <c r="AV612" i="1"/>
  <c r="AU612" i="1"/>
  <c r="AT612" i="1"/>
  <c r="Y611" i="1"/>
  <c r="X611" i="1"/>
  <c r="AX611" i="1"/>
  <c r="AW611" i="1"/>
  <c r="AV611" i="1"/>
  <c r="AU611" i="1"/>
  <c r="AT611" i="1"/>
  <c r="Y610" i="1"/>
  <c r="X610" i="1"/>
  <c r="AX610" i="1"/>
  <c r="AW610" i="1"/>
  <c r="AV610" i="1"/>
  <c r="AU610" i="1"/>
  <c r="AT610" i="1"/>
  <c r="Y609" i="1"/>
  <c r="X609" i="1"/>
  <c r="AX609" i="1"/>
  <c r="AW609" i="1"/>
  <c r="AV609" i="1"/>
  <c r="AU609" i="1"/>
  <c r="AT609" i="1"/>
  <c r="Y608" i="1"/>
  <c r="X608" i="1"/>
  <c r="AX608" i="1"/>
  <c r="AW608" i="1"/>
  <c r="AV608" i="1"/>
  <c r="AU608" i="1"/>
  <c r="AT608" i="1"/>
  <c r="Y607" i="1"/>
  <c r="X607" i="1"/>
  <c r="AX607" i="1"/>
  <c r="AW607" i="1"/>
  <c r="AV607" i="1"/>
  <c r="AU607" i="1"/>
  <c r="AT607" i="1"/>
  <c r="Y606" i="1"/>
  <c r="X606" i="1"/>
  <c r="AX606" i="1"/>
  <c r="AW606" i="1"/>
  <c r="AV606" i="1"/>
  <c r="AU606" i="1"/>
  <c r="AT606" i="1"/>
  <c r="Y605" i="1"/>
  <c r="X605" i="1"/>
  <c r="AX605" i="1"/>
  <c r="AW605" i="1"/>
  <c r="AV605" i="1"/>
  <c r="AU605" i="1"/>
  <c r="AT605" i="1"/>
  <c r="Y604" i="1"/>
  <c r="X604" i="1"/>
  <c r="AX604" i="1"/>
  <c r="AW604" i="1"/>
  <c r="AV604" i="1"/>
  <c r="AU604" i="1"/>
  <c r="AT604" i="1"/>
  <c r="Y603" i="1"/>
  <c r="X603" i="1"/>
  <c r="AX603" i="1"/>
  <c r="AW603" i="1"/>
  <c r="AV603" i="1"/>
  <c r="AU603" i="1"/>
  <c r="AT603" i="1"/>
  <c r="Y602" i="1"/>
  <c r="X602" i="1"/>
  <c r="AX602" i="1"/>
  <c r="AW602" i="1"/>
  <c r="AV602" i="1"/>
  <c r="AU602" i="1"/>
  <c r="AT602" i="1"/>
  <c r="Y600" i="1"/>
  <c r="X600" i="1"/>
  <c r="AX600" i="1"/>
  <c r="AW600" i="1"/>
  <c r="AV600" i="1"/>
  <c r="AU600" i="1"/>
  <c r="AT600" i="1"/>
  <c r="Y599" i="1"/>
  <c r="X599" i="1"/>
  <c r="AX599" i="1"/>
  <c r="AW599" i="1"/>
  <c r="AV599" i="1"/>
  <c r="AU599" i="1"/>
  <c r="AT599" i="1"/>
  <c r="Y598" i="1"/>
  <c r="X598" i="1"/>
  <c r="AX598" i="1"/>
  <c r="AW598" i="1"/>
  <c r="AV598" i="1"/>
  <c r="AU598" i="1"/>
  <c r="AT598" i="1"/>
  <c r="Y597" i="1"/>
  <c r="X597" i="1"/>
  <c r="AX597" i="1"/>
  <c r="AW597" i="1"/>
  <c r="AV597" i="1"/>
  <c r="AU597" i="1"/>
  <c r="AT597" i="1"/>
  <c r="Y596" i="1"/>
  <c r="X596" i="1"/>
  <c r="AX596" i="1"/>
  <c r="AW596" i="1"/>
  <c r="AV596" i="1"/>
  <c r="AU596" i="1"/>
  <c r="AT596" i="1"/>
  <c r="Y595" i="1"/>
  <c r="X595" i="1"/>
  <c r="AX595" i="1"/>
  <c r="AW595" i="1"/>
  <c r="AV595" i="1"/>
  <c r="AU595" i="1"/>
  <c r="AT595" i="1"/>
  <c r="Y594" i="1"/>
  <c r="X594" i="1"/>
  <c r="AX594" i="1"/>
  <c r="AW594" i="1"/>
  <c r="AV594" i="1"/>
  <c r="AU594" i="1"/>
  <c r="AT594" i="1"/>
  <c r="Y592" i="1"/>
  <c r="X592" i="1"/>
  <c r="AX592" i="1"/>
  <c r="AW592" i="1"/>
  <c r="AV592" i="1"/>
  <c r="AU592" i="1"/>
  <c r="AT592" i="1"/>
  <c r="Y591" i="1"/>
  <c r="X591" i="1"/>
  <c r="AX591" i="1"/>
  <c r="AW591" i="1"/>
  <c r="AV591" i="1"/>
  <c r="AU591" i="1"/>
  <c r="AT591" i="1"/>
  <c r="Y590" i="1"/>
  <c r="X590" i="1"/>
  <c r="AX590" i="1"/>
  <c r="AW590" i="1"/>
  <c r="AV590" i="1"/>
  <c r="AU590" i="1"/>
  <c r="AT590" i="1"/>
  <c r="Y589" i="1"/>
  <c r="X589" i="1"/>
  <c r="AX589" i="1"/>
  <c r="AW589" i="1"/>
  <c r="AV589" i="1"/>
  <c r="AU589" i="1"/>
  <c r="AT589" i="1"/>
  <c r="Y588" i="1"/>
  <c r="X588" i="1"/>
  <c r="AX588" i="1"/>
  <c r="AW588" i="1"/>
  <c r="AV588" i="1"/>
  <c r="AU588" i="1"/>
  <c r="AT588" i="1"/>
  <c r="Y587" i="1"/>
  <c r="X587" i="1"/>
  <c r="AX587" i="1"/>
  <c r="AW587" i="1"/>
  <c r="AV587" i="1"/>
  <c r="AU587" i="1"/>
  <c r="AT587" i="1"/>
  <c r="Y586" i="1"/>
  <c r="X586" i="1"/>
  <c r="AX586" i="1"/>
  <c r="AW586" i="1"/>
  <c r="AV586" i="1"/>
  <c r="AU586" i="1"/>
  <c r="AT586" i="1"/>
  <c r="Y585" i="1"/>
  <c r="X585" i="1"/>
  <c r="AX585" i="1"/>
  <c r="AW585" i="1"/>
  <c r="AV585" i="1"/>
  <c r="AU585" i="1"/>
  <c r="AT585" i="1"/>
  <c r="Y584" i="1"/>
  <c r="X584" i="1"/>
  <c r="AX584" i="1"/>
  <c r="AW584" i="1"/>
  <c r="AV584" i="1"/>
  <c r="AU584" i="1"/>
  <c r="AT584" i="1"/>
  <c r="Y583" i="1"/>
  <c r="X583" i="1"/>
  <c r="AX583" i="1"/>
  <c r="AW583" i="1"/>
  <c r="AV583" i="1"/>
  <c r="AU583" i="1"/>
  <c r="AT583" i="1"/>
  <c r="Y582" i="1"/>
  <c r="X582" i="1"/>
  <c r="AX582" i="1"/>
  <c r="AW582" i="1"/>
  <c r="AV582" i="1"/>
  <c r="AU582" i="1"/>
  <c r="AT582" i="1"/>
  <c r="Y581" i="1"/>
  <c r="X581" i="1"/>
  <c r="AX581" i="1"/>
  <c r="AW581" i="1"/>
  <c r="AV581" i="1"/>
  <c r="AU581" i="1"/>
  <c r="AT581" i="1"/>
  <c r="Y580" i="1"/>
  <c r="X580" i="1"/>
  <c r="AX580" i="1"/>
  <c r="AW580" i="1"/>
  <c r="AV580" i="1"/>
  <c r="AU580" i="1"/>
  <c r="AT580" i="1"/>
  <c r="Y579" i="1"/>
  <c r="X579" i="1"/>
  <c r="AX579" i="1"/>
  <c r="AW579" i="1"/>
  <c r="AV579" i="1"/>
  <c r="AU579" i="1"/>
  <c r="AT579" i="1"/>
  <c r="Y578" i="1"/>
  <c r="X578" i="1"/>
  <c r="AX578" i="1"/>
  <c r="AW578" i="1"/>
  <c r="AV578" i="1"/>
  <c r="AU578" i="1"/>
  <c r="AT578" i="1"/>
  <c r="Y577" i="1"/>
  <c r="X577" i="1"/>
  <c r="AX577" i="1"/>
  <c r="AW577" i="1"/>
  <c r="AV577" i="1"/>
  <c r="AU577" i="1"/>
  <c r="AT577" i="1"/>
  <c r="Y575" i="1"/>
  <c r="X575" i="1"/>
  <c r="AX575" i="1"/>
  <c r="AW575" i="1"/>
  <c r="AV575" i="1"/>
  <c r="AU575" i="1"/>
  <c r="AT575" i="1"/>
  <c r="Y574" i="1"/>
  <c r="X574" i="1"/>
  <c r="AX574" i="1"/>
  <c r="AW574" i="1"/>
  <c r="AV574" i="1"/>
  <c r="AU574" i="1"/>
  <c r="AT574" i="1"/>
  <c r="Y573" i="1"/>
  <c r="X573" i="1"/>
  <c r="AX573" i="1"/>
  <c r="AW573" i="1"/>
  <c r="AV573" i="1"/>
  <c r="AU573" i="1"/>
  <c r="AT573" i="1"/>
  <c r="Y572" i="1"/>
  <c r="X572" i="1"/>
  <c r="AX572" i="1"/>
  <c r="AW572" i="1"/>
  <c r="AV572" i="1"/>
  <c r="AU572" i="1"/>
  <c r="AT572" i="1"/>
  <c r="Y571" i="1"/>
  <c r="X571" i="1"/>
  <c r="AX571" i="1"/>
  <c r="AW571" i="1"/>
  <c r="AV571" i="1"/>
  <c r="AU571" i="1"/>
  <c r="AT571" i="1"/>
  <c r="Y570" i="1"/>
  <c r="X570" i="1"/>
  <c r="AX570" i="1"/>
  <c r="AW570" i="1"/>
  <c r="AV570" i="1"/>
  <c r="AU570" i="1"/>
  <c r="AT570" i="1"/>
  <c r="Y569" i="1"/>
  <c r="X569" i="1"/>
  <c r="AX569" i="1"/>
  <c r="AW569" i="1"/>
  <c r="AV569" i="1"/>
  <c r="AU569" i="1"/>
  <c r="AT569" i="1"/>
  <c r="Y568" i="1"/>
  <c r="X568" i="1"/>
  <c r="AX568" i="1"/>
  <c r="AW568" i="1"/>
  <c r="AV568" i="1"/>
  <c r="AU568" i="1"/>
  <c r="AT568" i="1"/>
  <c r="Y567" i="1"/>
  <c r="X567" i="1"/>
  <c r="AX567" i="1"/>
  <c r="AW567" i="1"/>
  <c r="AV567" i="1"/>
  <c r="AU567" i="1"/>
  <c r="AT567" i="1"/>
  <c r="Y566" i="1"/>
  <c r="X566" i="1"/>
  <c r="AX566" i="1"/>
  <c r="AW566" i="1"/>
  <c r="AV566" i="1"/>
  <c r="AU566" i="1"/>
  <c r="AT566" i="1"/>
  <c r="Y565" i="1"/>
  <c r="X565" i="1"/>
  <c r="AX565" i="1"/>
  <c r="AW565" i="1"/>
  <c r="AV565" i="1"/>
  <c r="AU565" i="1"/>
  <c r="AT565" i="1"/>
  <c r="Y564" i="1"/>
  <c r="X564" i="1"/>
  <c r="AX564" i="1"/>
  <c r="AW564" i="1"/>
  <c r="AV564" i="1"/>
  <c r="AU564" i="1"/>
  <c r="AT564" i="1"/>
  <c r="Y563" i="1"/>
  <c r="X563" i="1"/>
  <c r="AX563" i="1"/>
  <c r="AW563" i="1"/>
  <c r="AV563" i="1"/>
  <c r="AU563" i="1"/>
  <c r="AT563" i="1"/>
  <c r="Y562" i="1"/>
  <c r="X562" i="1"/>
  <c r="AX562" i="1"/>
  <c r="AW562" i="1"/>
  <c r="AV562" i="1"/>
  <c r="AU562" i="1"/>
  <c r="AT562" i="1"/>
  <c r="Y561" i="1"/>
  <c r="X561" i="1"/>
  <c r="AX561" i="1"/>
  <c r="AW561" i="1"/>
  <c r="AV561" i="1"/>
  <c r="AU561" i="1"/>
  <c r="AT561" i="1"/>
  <c r="Y560" i="1"/>
  <c r="X560" i="1"/>
  <c r="AX560" i="1"/>
  <c r="AW560" i="1"/>
  <c r="AV560" i="1"/>
  <c r="AU560" i="1"/>
  <c r="AT560" i="1"/>
  <c r="Y559" i="1"/>
  <c r="X559" i="1"/>
  <c r="AX559" i="1"/>
  <c r="AW559" i="1"/>
  <c r="AV559" i="1"/>
  <c r="AU559" i="1"/>
  <c r="AT559" i="1"/>
  <c r="Y558" i="1"/>
  <c r="X558" i="1"/>
  <c r="AX558" i="1"/>
  <c r="AW558" i="1"/>
  <c r="AV558" i="1"/>
  <c r="AU558" i="1"/>
  <c r="AT558" i="1"/>
  <c r="Y557" i="1"/>
  <c r="X557" i="1"/>
  <c r="AX557" i="1"/>
  <c r="AW557" i="1"/>
  <c r="AV557" i="1"/>
  <c r="AU557" i="1"/>
  <c r="AT557" i="1"/>
  <c r="Y556" i="1"/>
  <c r="X556" i="1"/>
  <c r="AX556" i="1"/>
  <c r="AW556" i="1"/>
  <c r="AV556" i="1"/>
  <c r="AU556" i="1"/>
  <c r="AT556" i="1"/>
  <c r="Y555" i="1"/>
  <c r="X555" i="1"/>
  <c r="AX555" i="1"/>
  <c r="AW555" i="1"/>
  <c r="AV555" i="1"/>
  <c r="AU555" i="1"/>
  <c r="AT555" i="1"/>
  <c r="Y554" i="1"/>
  <c r="X554" i="1"/>
  <c r="AX554" i="1"/>
  <c r="AW554" i="1"/>
  <c r="AV554" i="1"/>
  <c r="AU554" i="1"/>
  <c r="AT554" i="1"/>
  <c r="Y553" i="1"/>
  <c r="X553" i="1"/>
  <c r="AX553" i="1"/>
  <c r="AW553" i="1"/>
  <c r="AV553" i="1"/>
  <c r="AU553" i="1"/>
  <c r="AT553" i="1"/>
  <c r="Y552" i="1"/>
  <c r="X552" i="1"/>
  <c r="AX552" i="1"/>
  <c r="AW552" i="1"/>
  <c r="AV552" i="1"/>
  <c r="AU552" i="1"/>
  <c r="AT552" i="1"/>
  <c r="Y550" i="1"/>
  <c r="X550" i="1"/>
  <c r="AX550" i="1"/>
  <c r="AW550" i="1"/>
  <c r="AV550" i="1"/>
  <c r="AU550" i="1"/>
  <c r="AT550" i="1"/>
  <c r="Y549" i="1"/>
  <c r="X549" i="1"/>
  <c r="AX549" i="1"/>
  <c r="AW549" i="1"/>
  <c r="AV549" i="1"/>
  <c r="AU549" i="1"/>
  <c r="AT549" i="1"/>
  <c r="Y548" i="1"/>
  <c r="X548" i="1"/>
  <c r="AX548" i="1"/>
  <c r="AW548" i="1"/>
  <c r="AV548" i="1"/>
  <c r="AU548" i="1"/>
  <c r="AT548" i="1"/>
  <c r="Y547" i="1"/>
  <c r="X547" i="1"/>
  <c r="AX547" i="1"/>
  <c r="AW547" i="1"/>
  <c r="AV547" i="1"/>
  <c r="AU547" i="1"/>
  <c r="AT547" i="1"/>
  <c r="Y546" i="1"/>
  <c r="X546" i="1"/>
  <c r="AX546" i="1"/>
  <c r="AW546" i="1"/>
  <c r="AV546" i="1"/>
  <c r="AU546" i="1"/>
  <c r="AT546" i="1"/>
  <c r="Y545" i="1"/>
  <c r="X545" i="1"/>
  <c r="AX545" i="1"/>
  <c r="AW545" i="1"/>
  <c r="AV545" i="1"/>
  <c r="AU545" i="1"/>
  <c r="AT545" i="1"/>
  <c r="Y544" i="1"/>
  <c r="X544" i="1"/>
  <c r="AX544" i="1"/>
  <c r="AW544" i="1"/>
  <c r="AV544" i="1"/>
  <c r="AU544" i="1"/>
  <c r="AT544" i="1"/>
  <c r="Y543" i="1"/>
  <c r="X543" i="1"/>
  <c r="AX543" i="1"/>
  <c r="AW543" i="1"/>
  <c r="AV543" i="1"/>
  <c r="AU543" i="1"/>
  <c r="AT543" i="1"/>
  <c r="Y542" i="1"/>
  <c r="X542" i="1"/>
  <c r="AX542" i="1"/>
  <c r="AW542" i="1"/>
  <c r="AV542" i="1"/>
  <c r="AU542" i="1"/>
  <c r="AT542" i="1"/>
  <c r="Y541" i="1"/>
  <c r="X541" i="1"/>
  <c r="AX541" i="1"/>
  <c r="AW541" i="1"/>
  <c r="AV541" i="1"/>
  <c r="AU541" i="1"/>
  <c r="AT541" i="1"/>
  <c r="Y540" i="1"/>
  <c r="X540" i="1"/>
  <c r="AX540" i="1"/>
  <c r="AW540" i="1"/>
  <c r="AV540" i="1"/>
  <c r="AU540" i="1"/>
  <c r="AT540" i="1"/>
  <c r="Y539" i="1"/>
  <c r="X539" i="1"/>
  <c r="AX539" i="1"/>
  <c r="AW539" i="1"/>
  <c r="AV539" i="1"/>
  <c r="AU539" i="1"/>
  <c r="AT539" i="1"/>
  <c r="Y538" i="1"/>
  <c r="X538" i="1"/>
  <c r="AX538" i="1"/>
  <c r="AW538" i="1"/>
  <c r="AV538" i="1"/>
  <c r="AU538" i="1"/>
  <c r="AT538" i="1"/>
  <c r="Y537" i="1"/>
  <c r="X537" i="1"/>
  <c r="AX537" i="1"/>
  <c r="AW537" i="1"/>
  <c r="AV537" i="1"/>
  <c r="AU537" i="1"/>
  <c r="AT537" i="1"/>
  <c r="Y536" i="1"/>
  <c r="X536" i="1"/>
  <c r="AX536" i="1"/>
  <c r="AW536" i="1"/>
  <c r="AV536" i="1"/>
  <c r="AU536" i="1"/>
  <c r="AT536" i="1"/>
  <c r="Y535" i="1"/>
  <c r="X535" i="1"/>
  <c r="AX535" i="1"/>
  <c r="AW535" i="1"/>
  <c r="AV535" i="1"/>
  <c r="AU535" i="1"/>
  <c r="AT535" i="1"/>
  <c r="Y534" i="1"/>
  <c r="X534" i="1"/>
  <c r="AX534" i="1"/>
  <c r="AW534" i="1"/>
  <c r="AV534" i="1"/>
  <c r="AU534" i="1"/>
  <c r="AT534" i="1"/>
  <c r="Y533" i="1"/>
  <c r="X533" i="1"/>
  <c r="AX533" i="1"/>
  <c r="AW533" i="1"/>
  <c r="AV533" i="1"/>
  <c r="AU533" i="1"/>
  <c r="AT533" i="1"/>
  <c r="Y532" i="1"/>
  <c r="X532" i="1"/>
  <c r="AX532" i="1"/>
  <c r="AW532" i="1"/>
  <c r="AV532" i="1"/>
  <c r="AU532" i="1"/>
  <c r="AT532" i="1"/>
  <c r="Y531" i="1"/>
  <c r="X531" i="1"/>
  <c r="AX531" i="1"/>
  <c r="AW531" i="1"/>
  <c r="AV531" i="1"/>
  <c r="AU531" i="1"/>
  <c r="AT531" i="1"/>
  <c r="Y530" i="1"/>
  <c r="X530" i="1"/>
  <c r="AX530" i="1"/>
  <c r="AW530" i="1"/>
  <c r="AV530" i="1"/>
  <c r="AU530" i="1"/>
  <c r="AT530" i="1"/>
  <c r="Y529" i="1"/>
  <c r="X529" i="1"/>
  <c r="AX529" i="1"/>
  <c r="AW529" i="1"/>
  <c r="AV529" i="1"/>
  <c r="AU529" i="1"/>
  <c r="AT529" i="1"/>
  <c r="Y528" i="1"/>
  <c r="X528" i="1"/>
  <c r="AX528" i="1"/>
  <c r="AW528" i="1"/>
  <c r="AV528" i="1"/>
  <c r="AU528" i="1"/>
  <c r="AT528" i="1"/>
  <c r="Y527" i="1"/>
  <c r="X527" i="1"/>
  <c r="AX527" i="1"/>
  <c r="AW527" i="1"/>
  <c r="AV527" i="1"/>
  <c r="AU527" i="1"/>
  <c r="AT527" i="1"/>
  <c r="Y526" i="1"/>
  <c r="X526" i="1"/>
  <c r="AX526" i="1"/>
  <c r="AW526" i="1"/>
  <c r="AV526" i="1"/>
  <c r="AU526" i="1"/>
  <c r="AT526" i="1"/>
  <c r="Y525" i="1"/>
  <c r="X525" i="1"/>
  <c r="AX525" i="1"/>
  <c r="AW525" i="1"/>
  <c r="AV525" i="1"/>
  <c r="AU525" i="1"/>
  <c r="AT525" i="1"/>
  <c r="Y524" i="1"/>
  <c r="X524" i="1"/>
  <c r="AX524" i="1"/>
  <c r="AW524" i="1"/>
  <c r="AV524" i="1"/>
  <c r="AU524" i="1"/>
  <c r="AT524" i="1"/>
  <c r="Y522" i="1"/>
  <c r="X522" i="1"/>
  <c r="AX522" i="1"/>
  <c r="AW522" i="1"/>
  <c r="AV522" i="1"/>
  <c r="AU522" i="1"/>
  <c r="AT522" i="1"/>
  <c r="Y521" i="1"/>
  <c r="X521" i="1"/>
  <c r="AX521" i="1"/>
  <c r="AW521" i="1"/>
  <c r="AV521" i="1"/>
  <c r="AU521" i="1"/>
  <c r="AT521" i="1"/>
  <c r="Y520" i="1"/>
  <c r="X520" i="1"/>
  <c r="AX520" i="1"/>
  <c r="AW520" i="1"/>
  <c r="AV520" i="1"/>
  <c r="AU520" i="1"/>
  <c r="AT520" i="1"/>
  <c r="Y519" i="1"/>
  <c r="X519" i="1"/>
  <c r="AX519" i="1"/>
  <c r="AW519" i="1"/>
  <c r="AV519" i="1"/>
  <c r="AU519" i="1"/>
  <c r="AT519" i="1"/>
  <c r="Y518" i="1"/>
  <c r="X518" i="1"/>
  <c r="AX518" i="1"/>
  <c r="AW518" i="1"/>
  <c r="AV518" i="1"/>
  <c r="AU518" i="1"/>
  <c r="AT518" i="1"/>
  <c r="Y517" i="1"/>
  <c r="X517" i="1"/>
  <c r="AX517" i="1"/>
  <c r="AW517" i="1"/>
  <c r="AV517" i="1"/>
  <c r="AU517" i="1"/>
  <c r="AT517" i="1"/>
  <c r="Y516" i="1"/>
  <c r="X516" i="1"/>
  <c r="AX516" i="1"/>
  <c r="AW516" i="1"/>
  <c r="AV516" i="1"/>
  <c r="AU516" i="1"/>
  <c r="AT516" i="1"/>
  <c r="Y515" i="1"/>
  <c r="X515" i="1"/>
  <c r="AX515" i="1"/>
  <c r="AW515" i="1"/>
  <c r="AV515" i="1"/>
  <c r="AU515" i="1"/>
  <c r="AT515" i="1"/>
  <c r="Y514" i="1"/>
  <c r="X514" i="1"/>
  <c r="AX514" i="1"/>
  <c r="AW514" i="1"/>
  <c r="AV514" i="1"/>
  <c r="AU514" i="1"/>
  <c r="AT514" i="1"/>
  <c r="Y513" i="1"/>
  <c r="X513" i="1"/>
  <c r="AX513" i="1"/>
  <c r="AW513" i="1"/>
  <c r="AV513" i="1"/>
  <c r="AU513" i="1"/>
  <c r="AT513" i="1"/>
  <c r="Y512" i="1"/>
  <c r="X512" i="1"/>
  <c r="AX512" i="1"/>
  <c r="AW512" i="1"/>
  <c r="AV512" i="1"/>
  <c r="AU512" i="1"/>
  <c r="AT512" i="1"/>
  <c r="Y511" i="1"/>
  <c r="X511" i="1"/>
  <c r="AX511" i="1"/>
  <c r="AW511" i="1"/>
  <c r="AV511" i="1"/>
  <c r="AU511" i="1"/>
  <c r="AT511" i="1"/>
  <c r="Y510" i="1"/>
  <c r="X510" i="1"/>
  <c r="AX510" i="1"/>
  <c r="AW510" i="1"/>
  <c r="AV510" i="1"/>
  <c r="AU510" i="1"/>
  <c r="AT510" i="1"/>
  <c r="Y509" i="1"/>
  <c r="X509" i="1"/>
  <c r="AX509" i="1"/>
  <c r="AW509" i="1"/>
  <c r="AV509" i="1"/>
  <c r="AU509" i="1"/>
  <c r="AT509" i="1"/>
  <c r="Y508" i="1"/>
  <c r="X508" i="1"/>
  <c r="AX508" i="1"/>
  <c r="AW508" i="1"/>
  <c r="AV508" i="1"/>
  <c r="AU508" i="1"/>
  <c r="AT508" i="1"/>
  <c r="Y507" i="1"/>
  <c r="X507" i="1"/>
  <c r="AX507" i="1"/>
  <c r="AW507" i="1"/>
  <c r="AV507" i="1"/>
  <c r="AU507" i="1"/>
  <c r="AT507" i="1"/>
  <c r="Y506" i="1"/>
  <c r="X506" i="1"/>
  <c r="AX506" i="1"/>
  <c r="AW506" i="1"/>
  <c r="AV506" i="1"/>
  <c r="AU506" i="1"/>
  <c r="AT506" i="1"/>
  <c r="Y505" i="1"/>
  <c r="X505" i="1"/>
  <c r="AX505" i="1"/>
  <c r="AW505" i="1"/>
  <c r="AV505" i="1"/>
  <c r="AU505" i="1"/>
  <c r="AT505" i="1"/>
  <c r="Y504" i="1"/>
  <c r="X504" i="1"/>
  <c r="AX504" i="1"/>
  <c r="AW504" i="1"/>
  <c r="AV504" i="1"/>
  <c r="AU504" i="1"/>
  <c r="AT504" i="1"/>
  <c r="Y503" i="1"/>
  <c r="X503" i="1"/>
  <c r="AX503" i="1"/>
  <c r="AW503" i="1"/>
  <c r="AV503" i="1"/>
  <c r="AU503" i="1"/>
  <c r="AT503" i="1"/>
  <c r="Y502" i="1"/>
  <c r="X502" i="1"/>
  <c r="AX502" i="1"/>
  <c r="AW502" i="1"/>
  <c r="AV502" i="1"/>
  <c r="AU502" i="1"/>
  <c r="AT502" i="1"/>
  <c r="Y501" i="1"/>
  <c r="X501" i="1"/>
  <c r="AX501" i="1"/>
  <c r="AW501" i="1"/>
  <c r="AV501" i="1"/>
  <c r="AU501" i="1"/>
  <c r="AT501" i="1"/>
  <c r="Y500" i="1"/>
  <c r="X500" i="1"/>
  <c r="AX500" i="1"/>
  <c r="AW500" i="1"/>
  <c r="AV500" i="1"/>
  <c r="AU500" i="1"/>
  <c r="AT500" i="1"/>
  <c r="Y499" i="1"/>
  <c r="X499" i="1"/>
  <c r="AX499" i="1"/>
  <c r="AW499" i="1"/>
  <c r="AV499" i="1"/>
  <c r="AU499" i="1"/>
  <c r="AT499" i="1"/>
  <c r="Y498" i="1"/>
  <c r="X498" i="1"/>
  <c r="AX498" i="1"/>
  <c r="AW498" i="1"/>
  <c r="AV498" i="1"/>
  <c r="AU498" i="1"/>
  <c r="AT498" i="1"/>
  <c r="Y497" i="1"/>
  <c r="X497" i="1"/>
  <c r="AX497" i="1"/>
  <c r="AW497" i="1"/>
  <c r="AV497" i="1"/>
  <c r="AU497" i="1"/>
  <c r="AT497" i="1"/>
  <c r="Y496" i="1"/>
  <c r="X496" i="1"/>
  <c r="AX496" i="1"/>
  <c r="AW496" i="1"/>
  <c r="AV496" i="1"/>
  <c r="AU496" i="1"/>
  <c r="AT496" i="1"/>
  <c r="Y495" i="1"/>
  <c r="X495" i="1"/>
  <c r="AX495" i="1"/>
  <c r="AW495" i="1"/>
  <c r="AV495" i="1"/>
  <c r="AU495" i="1"/>
  <c r="AT495" i="1"/>
  <c r="Y494" i="1"/>
  <c r="X494" i="1"/>
  <c r="AX494" i="1"/>
  <c r="AW494" i="1"/>
  <c r="AV494" i="1"/>
  <c r="AU494" i="1"/>
  <c r="AT494" i="1"/>
  <c r="Y493" i="1"/>
  <c r="X493" i="1"/>
  <c r="AX493" i="1"/>
  <c r="AW493" i="1"/>
  <c r="AV493" i="1"/>
  <c r="AU493" i="1"/>
  <c r="AT493" i="1"/>
  <c r="Y492" i="1"/>
  <c r="X492" i="1"/>
  <c r="AX492" i="1"/>
  <c r="AW492" i="1"/>
  <c r="AV492" i="1"/>
  <c r="AU492" i="1"/>
  <c r="AT492" i="1"/>
  <c r="Y491" i="1"/>
  <c r="X491" i="1"/>
  <c r="AX491" i="1"/>
  <c r="AW491" i="1"/>
  <c r="AV491" i="1"/>
  <c r="AU491" i="1"/>
  <c r="AT491" i="1"/>
  <c r="Y490" i="1"/>
  <c r="X490" i="1"/>
  <c r="AX490" i="1"/>
  <c r="AW490" i="1"/>
  <c r="AV490" i="1"/>
  <c r="AU490" i="1"/>
  <c r="AT490" i="1"/>
  <c r="Y489" i="1"/>
  <c r="X489" i="1"/>
  <c r="AX489" i="1"/>
  <c r="AW489" i="1"/>
  <c r="AV489" i="1"/>
  <c r="AU489" i="1"/>
  <c r="AT489" i="1"/>
  <c r="Y488" i="1"/>
  <c r="X488" i="1"/>
  <c r="AX488" i="1"/>
  <c r="AW488" i="1"/>
  <c r="AV488" i="1"/>
  <c r="AU488" i="1"/>
  <c r="AT488" i="1"/>
  <c r="Y487" i="1"/>
  <c r="X487" i="1"/>
  <c r="AX487" i="1"/>
  <c r="AW487" i="1"/>
  <c r="AV487" i="1"/>
  <c r="AU487" i="1"/>
  <c r="AT487" i="1"/>
  <c r="Y486" i="1"/>
  <c r="X486" i="1"/>
  <c r="AX486" i="1"/>
  <c r="AW486" i="1"/>
  <c r="AV486" i="1"/>
  <c r="AU486" i="1"/>
  <c r="AT486" i="1"/>
  <c r="Y485" i="1"/>
  <c r="X485" i="1"/>
  <c r="AX485" i="1"/>
  <c r="AW485" i="1"/>
  <c r="AV485" i="1"/>
  <c r="AU485" i="1"/>
  <c r="AT485" i="1"/>
  <c r="Y484" i="1"/>
  <c r="X484" i="1"/>
  <c r="AX484" i="1"/>
  <c r="AW484" i="1"/>
  <c r="AV484" i="1"/>
  <c r="AU484" i="1"/>
  <c r="AT484" i="1"/>
  <c r="Y483" i="1"/>
  <c r="X483" i="1"/>
  <c r="AX483" i="1"/>
  <c r="AW483" i="1"/>
  <c r="AV483" i="1"/>
  <c r="AU483" i="1"/>
  <c r="AT483" i="1"/>
  <c r="Y482" i="1"/>
  <c r="X482" i="1"/>
  <c r="AX482" i="1"/>
  <c r="AW482" i="1"/>
  <c r="AV482" i="1"/>
  <c r="AU482" i="1"/>
  <c r="AT482" i="1"/>
  <c r="Y481" i="1"/>
  <c r="X481" i="1"/>
  <c r="AX481" i="1"/>
  <c r="AW481" i="1"/>
  <c r="AV481" i="1"/>
  <c r="AU481" i="1"/>
  <c r="AT481" i="1"/>
  <c r="Y480" i="1"/>
  <c r="X480" i="1"/>
  <c r="AX480" i="1"/>
  <c r="AW480" i="1"/>
  <c r="AV480" i="1"/>
  <c r="AU480" i="1"/>
  <c r="AT480" i="1"/>
  <c r="Y479" i="1"/>
  <c r="X479" i="1"/>
  <c r="AX479" i="1"/>
  <c r="AW479" i="1"/>
  <c r="AV479" i="1"/>
  <c r="AU479" i="1"/>
  <c r="AT479" i="1"/>
  <c r="Y478" i="1"/>
  <c r="X478" i="1"/>
  <c r="AX478" i="1"/>
  <c r="AW478" i="1"/>
  <c r="AV478" i="1"/>
  <c r="AU478" i="1"/>
  <c r="AT478" i="1"/>
  <c r="Y477" i="1"/>
  <c r="X477" i="1"/>
  <c r="AX477" i="1"/>
  <c r="AW477" i="1"/>
  <c r="AV477" i="1"/>
  <c r="AU477" i="1"/>
  <c r="AT477" i="1"/>
  <c r="Y476" i="1"/>
  <c r="X476" i="1"/>
  <c r="AX476" i="1"/>
  <c r="AW476" i="1"/>
  <c r="AV476" i="1"/>
  <c r="AU476" i="1"/>
  <c r="AT476" i="1"/>
  <c r="Y475" i="1"/>
  <c r="X475" i="1"/>
  <c r="AX475" i="1"/>
  <c r="AW475" i="1"/>
  <c r="AV475" i="1"/>
  <c r="AU475" i="1"/>
  <c r="AT475" i="1"/>
  <c r="Y474" i="1"/>
  <c r="X474" i="1"/>
  <c r="AX474" i="1"/>
  <c r="AW474" i="1"/>
  <c r="AV474" i="1"/>
  <c r="AU474" i="1"/>
  <c r="AT474" i="1"/>
  <c r="Y473" i="1"/>
  <c r="X473" i="1"/>
  <c r="AX473" i="1"/>
  <c r="AW473" i="1"/>
  <c r="AV473" i="1"/>
  <c r="AU473" i="1"/>
  <c r="AT473" i="1"/>
  <c r="Y472" i="1"/>
  <c r="X472" i="1"/>
  <c r="AX472" i="1"/>
  <c r="AW472" i="1"/>
  <c r="AV472" i="1"/>
  <c r="AU472" i="1"/>
  <c r="AT472" i="1"/>
  <c r="Y471" i="1"/>
  <c r="X471" i="1"/>
  <c r="AX471" i="1"/>
  <c r="AW471" i="1"/>
  <c r="AV471" i="1"/>
  <c r="AU471" i="1"/>
  <c r="AT471" i="1"/>
  <c r="Y470" i="1"/>
  <c r="X470" i="1"/>
  <c r="AX470" i="1"/>
  <c r="AW470" i="1"/>
  <c r="AV470" i="1"/>
  <c r="AU470" i="1"/>
  <c r="AT470" i="1"/>
  <c r="Y469" i="1"/>
  <c r="X469" i="1"/>
  <c r="AX469" i="1"/>
  <c r="AW469" i="1"/>
  <c r="AV469" i="1"/>
  <c r="AU469" i="1"/>
  <c r="AT469" i="1"/>
  <c r="Y468" i="1"/>
  <c r="X468" i="1"/>
  <c r="AX468" i="1"/>
  <c r="AW468" i="1"/>
  <c r="AV468" i="1"/>
  <c r="AU468" i="1"/>
  <c r="AT468" i="1"/>
  <c r="Y467" i="1"/>
  <c r="X467" i="1"/>
  <c r="AX467" i="1"/>
  <c r="AW467" i="1"/>
  <c r="AV467" i="1"/>
  <c r="AU467" i="1"/>
  <c r="AT467" i="1"/>
  <c r="Y466" i="1"/>
  <c r="X466" i="1"/>
  <c r="AX466" i="1"/>
  <c r="AW466" i="1"/>
  <c r="AV466" i="1"/>
  <c r="AU466" i="1"/>
  <c r="AT466" i="1"/>
  <c r="Y465" i="1"/>
  <c r="X465" i="1"/>
  <c r="AX465" i="1"/>
  <c r="AW465" i="1"/>
  <c r="AV465" i="1"/>
  <c r="AU465" i="1"/>
  <c r="AT465" i="1"/>
  <c r="Y464" i="1"/>
  <c r="X464" i="1"/>
  <c r="AX464" i="1"/>
  <c r="AW464" i="1"/>
  <c r="AV464" i="1"/>
  <c r="AU464" i="1"/>
  <c r="AT464" i="1"/>
  <c r="Y463" i="1"/>
  <c r="X463" i="1"/>
  <c r="AX463" i="1"/>
  <c r="AW463" i="1"/>
  <c r="AV463" i="1"/>
  <c r="AU463" i="1"/>
  <c r="AT463" i="1"/>
  <c r="Y462" i="1"/>
  <c r="X462" i="1"/>
  <c r="AX462" i="1"/>
  <c r="AW462" i="1"/>
  <c r="AV462" i="1"/>
  <c r="AU462" i="1"/>
  <c r="AT462" i="1"/>
  <c r="Y461" i="1"/>
  <c r="X461" i="1"/>
  <c r="AX461" i="1"/>
  <c r="AW461" i="1"/>
  <c r="AV461" i="1"/>
  <c r="AU461" i="1"/>
  <c r="AT461" i="1"/>
  <c r="Y460" i="1"/>
  <c r="X460" i="1"/>
  <c r="AX460" i="1"/>
  <c r="AW460" i="1"/>
  <c r="AV460" i="1"/>
  <c r="AU460" i="1"/>
  <c r="AT460" i="1"/>
  <c r="Y459" i="1"/>
  <c r="X459" i="1"/>
  <c r="AX459" i="1"/>
  <c r="AW459" i="1"/>
  <c r="AV459" i="1"/>
  <c r="AU459" i="1"/>
  <c r="AT459" i="1"/>
  <c r="Y458" i="1"/>
  <c r="X458" i="1"/>
  <c r="AX458" i="1"/>
  <c r="AW458" i="1"/>
  <c r="AV458" i="1"/>
  <c r="AU458" i="1"/>
  <c r="AT458" i="1"/>
  <c r="Y457" i="1"/>
  <c r="X457" i="1"/>
  <c r="AX457" i="1"/>
  <c r="AW457" i="1"/>
  <c r="AV457" i="1"/>
  <c r="AU457" i="1"/>
  <c r="AT457" i="1"/>
  <c r="Y456" i="1"/>
  <c r="X456" i="1"/>
  <c r="AX456" i="1"/>
  <c r="AW456" i="1"/>
  <c r="AV456" i="1"/>
  <c r="AU456" i="1"/>
  <c r="AT456" i="1"/>
  <c r="Y455" i="1"/>
  <c r="X455" i="1"/>
  <c r="AX455" i="1"/>
  <c r="AW455" i="1"/>
  <c r="AV455" i="1"/>
  <c r="AU455" i="1"/>
  <c r="AT455" i="1"/>
  <c r="Y454" i="1"/>
  <c r="X454" i="1"/>
  <c r="AX454" i="1"/>
  <c r="AW454" i="1"/>
  <c r="AV454" i="1"/>
  <c r="AU454" i="1"/>
  <c r="AT454" i="1"/>
  <c r="Y453" i="1"/>
  <c r="X453" i="1"/>
  <c r="AX453" i="1"/>
  <c r="AW453" i="1"/>
  <c r="AV453" i="1"/>
  <c r="AU453" i="1"/>
  <c r="AT453" i="1"/>
  <c r="Y452" i="1"/>
  <c r="X452" i="1"/>
  <c r="AX452" i="1"/>
  <c r="AW452" i="1"/>
  <c r="AV452" i="1"/>
  <c r="AU452" i="1"/>
  <c r="AT452" i="1"/>
  <c r="Y451" i="1"/>
  <c r="X451" i="1"/>
  <c r="AX451" i="1"/>
  <c r="AW451" i="1"/>
  <c r="AV451" i="1"/>
  <c r="AU451" i="1"/>
  <c r="AT451" i="1"/>
  <c r="Y450" i="1"/>
  <c r="X450" i="1"/>
  <c r="AX450" i="1"/>
  <c r="AW450" i="1"/>
  <c r="AV450" i="1"/>
  <c r="AU450" i="1"/>
  <c r="AT450" i="1"/>
  <c r="Y449" i="1"/>
  <c r="X449" i="1"/>
  <c r="AX449" i="1"/>
  <c r="AW449" i="1"/>
  <c r="AV449" i="1"/>
  <c r="AU449" i="1"/>
  <c r="AT449" i="1"/>
  <c r="Y448" i="1"/>
  <c r="X448" i="1"/>
  <c r="AX448" i="1"/>
  <c r="AW448" i="1"/>
  <c r="AV448" i="1"/>
  <c r="AU448" i="1"/>
  <c r="AT448" i="1"/>
  <c r="Y447" i="1"/>
  <c r="X447" i="1"/>
  <c r="AX447" i="1"/>
  <c r="AW447" i="1"/>
  <c r="AV447" i="1"/>
  <c r="AU447" i="1"/>
  <c r="AT447" i="1"/>
  <c r="Y446" i="1"/>
  <c r="X446" i="1"/>
  <c r="AX446" i="1"/>
  <c r="AW446" i="1"/>
  <c r="AV446" i="1"/>
  <c r="AU446" i="1"/>
  <c r="AT446" i="1"/>
  <c r="Y445" i="1"/>
  <c r="X445" i="1"/>
  <c r="AX445" i="1"/>
  <c r="AW445" i="1"/>
  <c r="AV445" i="1"/>
  <c r="AU445" i="1"/>
  <c r="AT445" i="1"/>
  <c r="Y444" i="1"/>
  <c r="X444" i="1"/>
  <c r="AX444" i="1"/>
  <c r="AW444" i="1"/>
  <c r="AV444" i="1"/>
  <c r="AU444" i="1"/>
  <c r="AT444" i="1"/>
  <c r="Y443" i="1"/>
  <c r="X443" i="1"/>
  <c r="AX443" i="1"/>
  <c r="AW443" i="1"/>
  <c r="AV443" i="1"/>
  <c r="AU443" i="1"/>
  <c r="AT443" i="1"/>
  <c r="Y442" i="1"/>
  <c r="X442" i="1"/>
  <c r="AX442" i="1"/>
  <c r="AW442" i="1"/>
  <c r="AV442" i="1"/>
  <c r="AU442" i="1"/>
  <c r="AT442" i="1"/>
  <c r="Y441" i="1"/>
  <c r="X441" i="1"/>
  <c r="AX441" i="1"/>
  <c r="AW441" i="1"/>
  <c r="AV441" i="1"/>
  <c r="AU441" i="1"/>
  <c r="AT441" i="1"/>
  <c r="Y440" i="1"/>
  <c r="X440" i="1"/>
  <c r="AX440" i="1"/>
  <c r="AW440" i="1"/>
  <c r="AV440" i="1"/>
  <c r="AU440" i="1"/>
  <c r="AT440" i="1"/>
  <c r="Y439" i="1"/>
  <c r="X439" i="1"/>
  <c r="AX439" i="1"/>
  <c r="AW439" i="1"/>
  <c r="AV439" i="1"/>
  <c r="AU439" i="1"/>
  <c r="AT439" i="1"/>
  <c r="Y438" i="1"/>
  <c r="X438" i="1"/>
  <c r="AX438" i="1"/>
  <c r="AW438" i="1"/>
  <c r="AV438" i="1"/>
  <c r="AU438" i="1"/>
  <c r="AT438" i="1"/>
  <c r="Y437" i="1"/>
  <c r="X437" i="1"/>
  <c r="AX437" i="1"/>
  <c r="AW437" i="1"/>
  <c r="AV437" i="1"/>
  <c r="AU437" i="1"/>
  <c r="AT437" i="1"/>
  <c r="Y436" i="1"/>
  <c r="X436" i="1"/>
  <c r="AX436" i="1"/>
  <c r="AW436" i="1"/>
  <c r="AV436" i="1"/>
  <c r="AU436" i="1"/>
  <c r="AT436" i="1"/>
  <c r="Y435" i="1"/>
  <c r="X435" i="1"/>
  <c r="AX435" i="1"/>
  <c r="AW435" i="1"/>
  <c r="AV435" i="1"/>
  <c r="AU435" i="1"/>
  <c r="AT435" i="1"/>
  <c r="Y434" i="1"/>
  <c r="X434" i="1"/>
  <c r="AX434" i="1"/>
  <c r="AW434" i="1"/>
  <c r="AV434" i="1"/>
  <c r="AU434" i="1"/>
  <c r="AT434" i="1"/>
  <c r="Y433" i="1"/>
  <c r="X433" i="1"/>
  <c r="AX433" i="1"/>
  <c r="AW433" i="1"/>
  <c r="AV433" i="1"/>
  <c r="AU433" i="1"/>
  <c r="AT433" i="1"/>
  <c r="Y432" i="1"/>
  <c r="X432" i="1"/>
  <c r="AX432" i="1"/>
  <c r="AW432" i="1"/>
  <c r="AV432" i="1"/>
  <c r="AU432" i="1"/>
  <c r="AT432" i="1"/>
  <c r="Y431" i="1"/>
  <c r="X431" i="1"/>
  <c r="AX431" i="1"/>
  <c r="AW431" i="1"/>
  <c r="AV431" i="1"/>
  <c r="AU431" i="1"/>
  <c r="AT431" i="1"/>
  <c r="Y430" i="1"/>
  <c r="X430" i="1"/>
  <c r="AX430" i="1"/>
  <c r="AW430" i="1"/>
  <c r="AV430" i="1"/>
  <c r="AU430" i="1"/>
  <c r="AT430" i="1"/>
  <c r="Y429" i="1"/>
  <c r="X429" i="1"/>
  <c r="AX429" i="1"/>
  <c r="AW429" i="1"/>
  <c r="AV429" i="1"/>
  <c r="AU429" i="1"/>
  <c r="AT429" i="1"/>
  <c r="Y428" i="1"/>
  <c r="X428" i="1"/>
  <c r="AX428" i="1"/>
  <c r="AW428" i="1"/>
  <c r="AV428" i="1"/>
  <c r="AU428" i="1"/>
  <c r="AT428" i="1"/>
  <c r="Y427" i="1"/>
  <c r="X427" i="1"/>
  <c r="AX427" i="1"/>
  <c r="AW427" i="1"/>
  <c r="AV427" i="1"/>
  <c r="AU427" i="1"/>
  <c r="AT427" i="1"/>
  <c r="Y426" i="1"/>
  <c r="X426" i="1"/>
  <c r="AX426" i="1"/>
  <c r="AW426" i="1"/>
  <c r="AV426" i="1"/>
  <c r="AU426" i="1"/>
  <c r="AT426" i="1"/>
  <c r="Y425" i="1"/>
  <c r="X425" i="1"/>
  <c r="AX425" i="1"/>
  <c r="AW425" i="1"/>
  <c r="AV425" i="1"/>
  <c r="AU425" i="1"/>
  <c r="AT425" i="1"/>
  <c r="Y424" i="1"/>
  <c r="X424" i="1"/>
  <c r="AX424" i="1"/>
  <c r="AW424" i="1"/>
  <c r="AV424" i="1"/>
  <c r="AU424" i="1"/>
  <c r="AT424" i="1"/>
  <c r="Y423" i="1"/>
  <c r="X423" i="1"/>
  <c r="AX423" i="1"/>
  <c r="AW423" i="1"/>
  <c r="AV423" i="1"/>
  <c r="AU423" i="1"/>
  <c r="AT423" i="1"/>
  <c r="Y422" i="1"/>
  <c r="X422" i="1"/>
  <c r="AX422" i="1"/>
  <c r="AW422" i="1"/>
  <c r="AV422" i="1"/>
  <c r="AU422" i="1"/>
  <c r="AT422" i="1"/>
  <c r="Y421" i="1"/>
  <c r="X421" i="1"/>
  <c r="AX421" i="1"/>
  <c r="AW421" i="1"/>
  <c r="AV421" i="1"/>
  <c r="AU421" i="1"/>
  <c r="AT421" i="1"/>
  <c r="Y420" i="1"/>
  <c r="X420" i="1"/>
  <c r="AX420" i="1"/>
  <c r="AW420" i="1"/>
  <c r="AV420" i="1"/>
  <c r="AU420" i="1"/>
  <c r="AT420" i="1"/>
  <c r="Y419" i="1"/>
  <c r="X419" i="1"/>
  <c r="AX419" i="1"/>
  <c r="AW419" i="1"/>
  <c r="AV419" i="1"/>
  <c r="AU419" i="1"/>
  <c r="AT419" i="1"/>
  <c r="Y418" i="1"/>
  <c r="X418" i="1"/>
  <c r="AX418" i="1"/>
  <c r="AW418" i="1"/>
  <c r="AV418" i="1"/>
  <c r="AU418" i="1"/>
  <c r="AT418" i="1"/>
  <c r="Y417" i="1"/>
  <c r="X417" i="1"/>
  <c r="AX417" i="1"/>
  <c r="AW417" i="1"/>
  <c r="AV417" i="1"/>
  <c r="AU417" i="1"/>
  <c r="AT417" i="1"/>
  <c r="Y416" i="1"/>
  <c r="X416" i="1"/>
  <c r="AX416" i="1"/>
  <c r="AW416" i="1"/>
  <c r="AV416" i="1"/>
  <c r="AU416" i="1"/>
  <c r="AT416" i="1"/>
  <c r="Y415" i="1"/>
  <c r="X415" i="1"/>
  <c r="AX415" i="1"/>
  <c r="AW415" i="1"/>
  <c r="AV415" i="1"/>
  <c r="AU415" i="1"/>
  <c r="AT415" i="1"/>
  <c r="Y414" i="1"/>
  <c r="X414" i="1"/>
  <c r="AX414" i="1"/>
  <c r="AW414" i="1"/>
  <c r="AV414" i="1"/>
  <c r="AU414" i="1"/>
  <c r="AT414" i="1"/>
  <c r="Y413" i="1"/>
  <c r="X413" i="1"/>
  <c r="AX413" i="1"/>
  <c r="AW413" i="1"/>
  <c r="AV413" i="1"/>
  <c r="AU413" i="1"/>
  <c r="AT413" i="1"/>
  <c r="Y412" i="1"/>
  <c r="X412" i="1"/>
  <c r="AX412" i="1"/>
  <c r="AW412" i="1"/>
  <c r="AV412" i="1"/>
  <c r="AU412" i="1"/>
  <c r="AT412" i="1"/>
  <c r="Y411" i="1"/>
  <c r="X411" i="1"/>
  <c r="AX411" i="1"/>
  <c r="AW411" i="1"/>
  <c r="AV411" i="1"/>
  <c r="AU411" i="1"/>
  <c r="AT411" i="1"/>
  <c r="Y410" i="1"/>
  <c r="X410" i="1"/>
  <c r="AX410" i="1"/>
  <c r="AW410" i="1"/>
  <c r="AV410" i="1"/>
  <c r="AU410" i="1"/>
  <c r="AT410" i="1"/>
  <c r="Y409" i="1"/>
  <c r="X409" i="1"/>
  <c r="AX409" i="1"/>
  <c r="AW409" i="1"/>
  <c r="AV409" i="1"/>
  <c r="AU409" i="1"/>
  <c r="AT409" i="1"/>
  <c r="Y408" i="1"/>
  <c r="X408" i="1"/>
  <c r="AX408" i="1"/>
  <c r="AW408" i="1"/>
  <c r="AV408" i="1"/>
  <c r="AU408" i="1"/>
  <c r="AT408" i="1"/>
  <c r="Y407" i="1"/>
  <c r="X407" i="1"/>
  <c r="AX407" i="1"/>
  <c r="AW407" i="1"/>
  <c r="AV407" i="1"/>
  <c r="AU407" i="1"/>
  <c r="AT407" i="1"/>
  <c r="Y406" i="1"/>
  <c r="X406" i="1"/>
  <c r="AX406" i="1"/>
  <c r="AW406" i="1"/>
  <c r="AV406" i="1"/>
  <c r="AU406" i="1"/>
  <c r="AT406" i="1"/>
  <c r="Y405" i="1"/>
  <c r="X405" i="1"/>
  <c r="AX405" i="1"/>
  <c r="AW405" i="1"/>
  <c r="AV405" i="1"/>
  <c r="AU405" i="1"/>
  <c r="AT405" i="1"/>
  <c r="Y404" i="1"/>
  <c r="X404" i="1"/>
  <c r="AX404" i="1"/>
  <c r="AW404" i="1"/>
  <c r="AV404" i="1"/>
  <c r="AU404" i="1"/>
  <c r="AT404" i="1"/>
  <c r="Y403" i="1"/>
  <c r="X403" i="1"/>
  <c r="AX403" i="1"/>
  <c r="AW403" i="1"/>
  <c r="AV403" i="1"/>
  <c r="AU403" i="1"/>
  <c r="AT403" i="1"/>
  <c r="Y402" i="1"/>
  <c r="X402" i="1"/>
  <c r="AX402" i="1"/>
  <c r="AW402" i="1"/>
  <c r="AV402" i="1"/>
  <c r="AU402" i="1"/>
  <c r="AT402" i="1"/>
  <c r="Y401" i="1"/>
  <c r="X401" i="1"/>
  <c r="AX401" i="1"/>
  <c r="AW401" i="1"/>
  <c r="AV401" i="1"/>
  <c r="AU401" i="1"/>
  <c r="AT401" i="1"/>
  <c r="Y400" i="1"/>
  <c r="X400" i="1"/>
  <c r="AX400" i="1"/>
  <c r="AW400" i="1"/>
  <c r="AV400" i="1"/>
  <c r="AU400" i="1"/>
  <c r="AT400" i="1"/>
  <c r="Y399" i="1"/>
  <c r="X399" i="1"/>
  <c r="AX399" i="1"/>
  <c r="AW399" i="1"/>
  <c r="AV399" i="1"/>
  <c r="AU399" i="1"/>
  <c r="AT399" i="1"/>
  <c r="Y398" i="1"/>
  <c r="X398" i="1"/>
  <c r="AX398" i="1"/>
  <c r="AW398" i="1"/>
  <c r="AV398" i="1"/>
  <c r="AU398" i="1"/>
  <c r="AT398" i="1"/>
  <c r="Y397" i="1"/>
  <c r="X397" i="1"/>
  <c r="AX397" i="1"/>
  <c r="AW397" i="1"/>
  <c r="AV397" i="1"/>
  <c r="AU397" i="1"/>
  <c r="AT397" i="1"/>
  <c r="Y396" i="1"/>
  <c r="X396" i="1"/>
  <c r="AX396" i="1"/>
  <c r="AW396" i="1"/>
  <c r="AV396" i="1"/>
  <c r="AU396" i="1"/>
  <c r="AT396" i="1"/>
  <c r="Y395" i="1"/>
  <c r="X395" i="1"/>
  <c r="AX395" i="1"/>
  <c r="AW395" i="1"/>
  <c r="AV395" i="1"/>
  <c r="AU395" i="1"/>
  <c r="AT395" i="1"/>
  <c r="Y394" i="1"/>
  <c r="X394" i="1"/>
  <c r="AX394" i="1"/>
  <c r="AW394" i="1"/>
  <c r="AV394" i="1"/>
  <c r="AU394" i="1"/>
  <c r="AT394" i="1"/>
  <c r="Y393" i="1"/>
  <c r="X393" i="1"/>
  <c r="AX393" i="1"/>
  <c r="AW393" i="1"/>
  <c r="AV393" i="1"/>
  <c r="AU393" i="1"/>
  <c r="AT393" i="1"/>
  <c r="Y392" i="1"/>
  <c r="X392" i="1"/>
  <c r="AX392" i="1"/>
  <c r="AW392" i="1"/>
  <c r="AV392" i="1"/>
  <c r="AU392" i="1"/>
  <c r="AT392" i="1"/>
  <c r="Y391" i="1"/>
  <c r="X391" i="1"/>
  <c r="AX391" i="1"/>
  <c r="AW391" i="1"/>
  <c r="AV391" i="1"/>
  <c r="AU391" i="1"/>
  <c r="AT391" i="1"/>
  <c r="Y390" i="1"/>
  <c r="X390" i="1"/>
  <c r="AX390" i="1"/>
  <c r="AW390" i="1"/>
  <c r="AV390" i="1"/>
  <c r="AU390" i="1"/>
  <c r="AT390" i="1"/>
  <c r="Y389" i="1"/>
  <c r="X389" i="1"/>
  <c r="AX389" i="1"/>
  <c r="AW389" i="1"/>
  <c r="AV389" i="1"/>
  <c r="AU389" i="1"/>
  <c r="AT389" i="1"/>
  <c r="Y388" i="1"/>
  <c r="X388" i="1"/>
  <c r="AX388" i="1"/>
  <c r="AW388" i="1"/>
  <c r="AV388" i="1"/>
  <c r="AU388" i="1"/>
  <c r="AT388" i="1"/>
  <c r="Y387" i="1"/>
  <c r="X387" i="1"/>
  <c r="AX387" i="1"/>
  <c r="AW387" i="1"/>
  <c r="AV387" i="1"/>
  <c r="AU387" i="1"/>
  <c r="AT387" i="1"/>
  <c r="Y386" i="1"/>
  <c r="X386" i="1"/>
  <c r="AX386" i="1"/>
  <c r="AW386" i="1"/>
  <c r="AV386" i="1"/>
  <c r="AU386" i="1"/>
  <c r="AT386" i="1"/>
  <c r="Y385" i="1"/>
  <c r="X385" i="1"/>
  <c r="AX385" i="1"/>
  <c r="AW385" i="1"/>
  <c r="AV385" i="1"/>
  <c r="AU385" i="1"/>
  <c r="AT385" i="1"/>
  <c r="Y384" i="1"/>
  <c r="X384" i="1"/>
  <c r="AX384" i="1"/>
  <c r="AW384" i="1"/>
  <c r="AV384" i="1"/>
  <c r="AU384" i="1"/>
  <c r="AT384" i="1"/>
  <c r="Y383" i="1"/>
  <c r="X383" i="1"/>
  <c r="AX383" i="1"/>
  <c r="AW383" i="1"/>
  <c r="AV383" i="1"/>
  <c r="AU383" i="1"/>
  <c r="AT383" i="1"/>
  <c r="Y382" i="1"/>
  <c r="X382" i="1"/>
  <c r="AX382" i="1"/>
  <c r="AW382" i="1"/>
  <c r="AV382" i="1"/>
  <c r="AU382" i="1"/>
  <c r="AT382" i="1"/>
  <c r="Y381" i="1"/>
  <c r="X381" i="1"/>
  <c r="AX381" i="1"/>
  <c r="AW381" i="1"/>
  <c r="AV381" i="1"/>
  <c r="AU381" i="1"/>
  <c r="AT381" i="1"/>
  <c r="Y380" i="1"/>
  <c r="X380" i="1"/>
  <c r="AX380" i="1"/>
  <c r="AW380" i="1"/>
  <c r="AV380" i="1"/>
  <c r="AU380" i="1"/>
  <c r="AT380" i="1"/>
  <c r="Y379" i="1"/>
  <c r="X379" i="1"/>
  <c r="AX379" i="1"/>
  <c r="AW379" i="1"/>
  <c r="AV379" i="1"/>
  <c r="AU379" i="1"/>
  <c r="AT379" i="1"/>
  <c r="Y378" i="1"/>
  <c r="X378" i="1"/>
  <c r="AX378" i="1"/>
  <c r="AW378" i="1"/>
  <c r="AV378" i="1"/>
  <c r="AU378" i="1"/>
  <c r="AT378" i="1"/>
  <c r="Y377" i="1"/>
  <c r="X377" i="1"/>
  <c r="AX377" i="1"/>
  <c r="AW377" i="1"/>
  <c r="AV377" i="1"/>
  <c r="AU377" i="1"/>
  <c r="AT377" i="1"/>
  <c r="Y376" i="1"/>
  <c r="X376" i="1"/>
  <c r="AX376" i="1"/>
  <c r="AW376" i="1"/>
  <c r="AV376" i="1"/>
  <c r="AU376" i="1"/>
  <c r="AT376" i="1"/>
  <c r="Y375" i="1"/>
  <c r="X375" i="1"/>
  <c r="AX375" i="1"/>
  <c r="AW375" i="1"/>
  <c r="AV375" i="1"/>
  <c r="AU375" i="1"/>
  <c r="AT375" i="1"/>
  <c r="Y374" i="1"/>
  <c r="X374" i="1"/>
  <c r="AX374" i="1"/>
  <c r="AW374" i="1"/>
  <c r="AV374" i="1"/>
  <c r="AU374" i="1"/>
  <c r="AT374" i="1"/>
  <c r="Y373" i="1"/>
  <c r="X373" i="1"/>
  <c r="AX373" i="1"/>
  <c r="AW373" i="1"/>
  <c r="AV373" i="1"/>
  <c r="AU373" i="1"/>
  <c r="AT373" i="1"/>
  <c r="Y372" i="1"/>
  <c r="X372" i="1"/>
  <c r="AX372" i="1"/>
  <c r="AW372" i="1"/>
  <c r="AV372" i="1"/>
  <c r="AU372" i="1"/>
  <c r="AT372" i="1"/>
  <c r="Y371" i="1"/>
  <c r="X371" i="1"/>
  <c r="AX371" i="1"/>
  <c r="AW371" i="1"/>
  <c r="AV371" i="1"/>
  <c r="AU371" i="1"/>
  <c r="AT371" i="1"/>
  <c r="Y370" i="1"/>
  <c r="X370" i="1"/>
  <c r="AX370" i="1"/>
  <c r="AW370" i="1"/>
  <c r="AV370" i="1"/>
  <c r="AU370" i="1"/>
  <c r="AT370" i="1"/>
  <c r="Y369" i="1"/>
  <c r="X369" i="1"/>
  <c r="AX369" i="1"/>
  <c r="AW369" i="1"/>
  <c r="AV369" i="1"/>
  <c r="AU369" i="1"/>
  <c r="AT369" i="1"/>
  <c r="Y368" i="1"/>
  <c r="X368" i="1"/>
  <c r="AX368" i="1"/>
  <c r="AW368" i="1"/>
  <c r="AV368" i="1"/>
  <c r="AU368" i="1"/>
  <c r="AT368" i="1"/>
  <c r="Y367" i="1"/>
  <c r="X367" i="1"/>
  <c r="AX367" i="1"/>
  <c r="AW367" i="1"/>
  <c r="AV367" i="1"/>
  <c r="AU367" i="1"/>
  <c r="AT367" i="1"/>
  <c r="Y366" i="1"/>
  <c r="X366" i="1"/>
  <c r="AX366" i="1"/>
  <c r="AW366" i="1"/>
  <c r="AV366" i="1"/>
  <c r="AU366" i="1"/>
  <c r="AT366" i="1"/>
  <c r="Y365" i="1"/>
  <c r="X365" i="1"/>
  <c r="AX365" i="1"/>
  <c r="AW365" i="1"/>
  <c r="AV365" i="1"/>
  <c r="AU365" i="1"/>
  <c r="AT365" i="1"/>
  <c r="Y364" i="1"/>
  <c r="X364" i="1"/>
  <c r="AX364" i="1"/>
  <c r="AW364" i="1"/>
  <c r="AV364" i="1"/>
  <c r="AU364" i="1"/>
  <c r="AT364" i="1"/>
  <c r="Y363" i="1"/>
  <c r="X363" i="1"/>
  <c r="AX363" i="1"/>
  <c r="AW363" i="1"/>
  <c r="AV363" i="1"/>
  <c r="AU363" i="1"/>
  <c r="AT363" i="1"/>
  <c r="Y362" i="1"/>
  <c r="X362" i="1"/>
  <c r="AX362" i="1"/>
  <c r="AW362" i="1"/>
  <c r="AV362" i="1"/>
  <c r="AU362" i="1"/>
  <c r="AT362" i="1"/>
  <c r="Y361" i="1"/>
  <c r="X361" i="1"/>
  <c r="AX361" i="1"/>
  <c r="AW361" i="1"/>
  <c r="AV361" i="1"/>
  <c r="AU361" i="1"/>
  <c r="AT361" i="1"/>
  <c r="Y360" i="1"/>
  <c r="X360" i="1"/>
  <c r="AX360" i="1"/>
  <c r="AW360" i="1"/>
  <c r="AV360" i="1"/>
  <c r="AU360" i="1"/>
  <c r="AT360" i="1"/>
  <c r="Y359" i="1"/>
  <c r="X359" i="1"/>
  <c r="AX359" i="1"/>
  <c r="AW359" i="1"/>
  <c r="AV359" i="1"/>
  <c r="AU359" i="1"/>
  <c r="AT359" i="1"/>
  <c r="Y358" i="1"/>
  <c r="X358" i="1"/>
  <c r="AX358" i="1"/>
  <c r="AW358" i="1"/>
  <c r="AV358" i="1"/>
  <c r="AU358" i="1"/>
  <c r="AT358" i="1"/>
  <c r="Y357" i="1"/>
  <c r="X357" i="1"/>
  <c r="AX357" i="1"/>
  <c r="AW357" i="1"/>
  <c r="AV357" i="1"/>
  <c r="AU357" i="1"/>
  <c r="AT357" i="1"/>
  <c r="Y356" i="1"/>
  <c r="X356" i="1"/>
  <c r="AX356" i="1"/>
  <c r="AW356" i="1"/>
  <c r="AV356" i="1"/>
  <c r="AU356" i="1"/>
  <c r="AT356" i="1"/>
  <c r="Y355" i="1"/>
  <c r="X355" i="1"/>
  <c r="AX355" i="1"/>
  <c r="AW355" i="1"/>
  <c r="AV355" i="1"/>
  <c r="AU355" i="1"/>
  <c r="AT355" i="1"/>
  <c r="Y354" i="1"/>
  <c r="X354" i="1"/>
  <c r="AX354" i="1"/>
  <c r="AW354" i="1"/>
  <c r="AV354" i="1"/>
  <c r="AU354" i="1"/>
  <c r="AT354" i="1"/>
  <c r="Y353" i="1"/>
  <c r="X353" i="1"/>
  <c r="AX353" i="1"/>
  <c r="AW353" i="1"/>
  <c r="AV353" i="1"/>
  <c r="AU353" i="1"/>
  <c r="AT353" i="1"/>
  <c r="Y352" i="1"/>
  <c r="X352" i="1"/>
  <c r="AX352" i="1"/>
  <c r="AW352" i="1"/>
  <c r="AV352" i="1"/>
  <c r="AU352" i="1"/>
  <c r="AT352" i="1"/>
  <c r="Y351" i="1"/>
  <c r="X351" i="1"/>
  <c r="AX351" i="1"/>
  <c r="AW351" i="1"/>
  <c r="AV351" i="1"/>
  <c r="AU351" i="1"/>
  <c r="AT351" i="1"/>
  <c r="Y350" i="1"/>
  <c r="X350" i="1"/>
  <c r="AX350" i="1"/>
  <c r="AW350" i="1"/>
  <c r="AV350" i="1"/>
  <c r="AU350" i="1"/>
  <c r="AT350" i="1"/>
  <c r="Y349" i="1"/>
  <c r="X349" i="1"/>
  <c r="AX349" i="1"/>
  <c r="AW349" i="1"/>
  <c r="AV349" i="1"/>
  <c r="AU349" i="1"/>
  <c r="AT349" i="1"/>
  <c r="Y348" i="1"/>
  <c r="X348" i="1"/>
  <c r="AX348" i="1"/>
  <c r="AW348" i="1"/>
  <c r="AV348" i="1"/>
  <c r="AU348" i="1"/>
  <c r="AT348" i="1"/>
  <c r="Y347" i="1"/>
  <c r="X347" i="1"/>
  <c r="AX347" i="1"/>
  <c r="AW347" i="1"/>
  <c r="AV347" i="1"/>
  <c r="AU347" i="1"/>
  <c r="AT347" i="1"/>
  <c r="Y346" i="1"/>
  <c r="X346" i="1"/>
  <c r="AX346" i="1"/>
  <c r="AW346" i="1"/>
  <c r="AV346" i="1"/>
  <c r="AU346" i="1"/>
  <c r="AT346" i="1"/>
  <c r="Y345" i="1"/>
  <c r="X345" i="1"/>
  <c r="AX345" i="1"/>
  <c r="AW345" i="1"/>
  <c r="AV345" i="1"/>
  <c r="AU345" i="1"/>
  <c r="AT345" i="1"/>
  <c r="Y344" i="1"/>
  <c r="X344" i="1"/>
  <c r="AX344" i="1"/>
  <c r="AW344" i="1"/>
  <c r="AV344" i="1"/>
  <c r="AU344" i="1"/>
  <c r="AT344" i="1"/>
  <c r="Y343" i="1"/>
  <c r="X343" i="1"/>
  <c r="AX343" i="1"/>
  <c r="AW343" i="1"/>
  <c r="AV343" i="1"/>
  <c r="AU343" i="1"/>
  <c r="AT343" i="1"/>
  <c r="Y342" i="1"/>
  <c r="X342" i="1"/>
  <c r="AX342" i="1"/>
  <c r="AW342" i="1"/>
  <c r="AV342" i="1"/>
  <c r="AU342" i="1"/>
  <c r="AT342" i="1"/>
  <c r="Y341" i="1"/>
  <c r="X341" i="1"/>
  <c r="AX341" i="1"/>
  <c r="AW341" i="1"/>
  <c r="AV341" i="1"/>
  <c r="AU341" i="1"/>
  <c r="AT341" i="1"/>
  <c r="Y340" i="1"/>
  <c r="X340" i="1"/>
  <c r="AX340" i="1"/>
  <c r="AW340" i="1"/>
  <c r="AV340" i="1"/>
  <c r="AU340" i="1"/>
  <c r="AT340" i="1"/>
  <c r="Y339" i="1"/>
  <c r="X339" i="1"/>
  <c r="AX339" i="1"/>
  <c r="AW339" i="1"/>
  <c r="AV339" i="1"/>
  <c r="AU339" i="1"/>
  <c r="AT339" i="1"/>
  <c r="Y338" i="1"/>
  <c r="X338" i="1"/>
  <c r="AX338" i="1"/>
  <c r="AW338" i="1"/>
  <c r="AV338" i="1"/>
  <c r="AU338" i="1"/>
  <c r="AT338" i="1"/>
  <c r="Y337" i="1"/>
  <c r="X337" i="1"/>
  <c r="AX337" i="1"/>
  <c r="AW337" i="1"/>
  <c r="AV337" i="1"/>
  <c r="AU337" i="1"/>
  <c r="AT337" i="1"/>
  <c r="Y336" i="1"/>
  <c r="X336" i="1"/>
  <c r="AX336" i="1"/>
  <c r="AW336" i="1"/>
  <c r="AV336" i="1"/>
  <c r="AU336" i="1"/>
  <c r="AT336" i="1"/>
  <c r="Y335" i="1"/>
  <c r="X335" i="1"/>
  <c r="AX335" i="1"/>
  <c r="AW335" i="1"/>
  <c r="AV335" i="1"/>
  <c r="AU335" i="1"/>
  <c r="AT335" i="1"/>
  <c r="Y334" i="1"/>
  <c r="X334" i="1"/>
  <c r="AX334" i="1"/>
  <c r="AW334" i="1"/>
  <c r="AV334" i="1"/>
  <c r="AU334" i="1"/>
  <c r="AT334" i="1"/>
  <c r="Y333" i="1"/>
  <c r="X333" i="1"/>
  <c r="AX333" i="1"/>
  <c r="AW333" i="1"/>
  <c r="AV333" i="1"/>
  <c r="AU333" i="1"/>
  <c r="AT333" i="1"/>
  <c r="Y332" i="1"/>
  <c r="X332" i="1"/>
  <c r="AX332" i="1"/>
  <c r="AW332" i="1"/>
  <c r="AV332" i="1"/>
  <c r="AU332" i="1"/>
  <c r="AT332" i="1"/>
  <c r="Y331" i="1"/>
  <c r="X331" i="1"/>
  <c r="AX331" i="1"/>
  <c r="AW331" i="1"/>
  <c r="AV331" i="1"/>
  <c r="AU331" i="1"/>
  <c r="AT331" i="1"/>
  <c r="Y330" i="1"/>
  <c r="X330" i="1"/>
  <c r="AX330" i="1"/>
  <c r="AW330" i="1"/>
  <c r="AV330" i="1"/>
  <c r="AU330" i="1"/>
  <c r="AT330" i="1"/>
  <c r="Y329" i="1"/>
  <c r="X329" i="1"/>
  <c r="AX329" i="1"/>
  <c r="AW329" i="1"/>
  <c r="AV329" i="1"/>
  <c r="AU329" i="1"/>
  <c r="AT329" i="1"/>
  <c r="Y328" i="1"/>
  <c r="X328" i="1"/>
  <c r="AX328" i="1"/>
  <c r="AW328" i="1"/>
  <c r="AV328" i="1"/>
  <c r="AU328" i="1"/>
  <c r="AT328" i="1"/>
  <c r="Y327" i="1"/>
  <c r="X327" i="1"/>
  <c r="AX327" i="1"/>
  <c r="AW327" i="1"/>
  <c r="AV327" i="1"/>
  <c r="AU327" i="1"/>
  <c r="AT327" i="1"/>
  <c r="Y326" i="1"/>
  <c r="X326" i="1"/>
  <c r="AX326" i="1"/>
  <c r="AW326" i="1"/>
  <c r="AV326" i="1"/>
  <c r="AU326" i="1"/>
  <c r="AT326" i="1"/>
  <c r="Y325" i="1"/>
  <c r="X325" i="1"/>
  <c r="AX325" i="1"/>
  <c r="AW325" i="1"/>
  <c r="AV325" i="1"/>
  <c r="AU325" i="1"/>
  <c r="AT325" i="1"/>
  <c r="Y324" i="1"/>
  <c r="X324" i="1"/>
  <c r="AX324" i="1"/>
  <c r="AW324" i="1"/>
  <c r="AV324" i="1"/>
  <c r="AU324" i="1"/>
  <c r="AT324" i="1"/>
  <c r="Y323" i="1"/>
  <c r="X323" i="1"/>
  <c r="AX323" i="1"/>
  <c r="AW323" i="1"/>
  <c r="AV323" i="1"/>
  <c r="AU323" i="1"/>
  <c r="AT323" i="1"/>
  <c r="Y322" i="1"/>
  <c r="X322" i="1"/>
  <c r="AX322" i="1"/>
  <c r="AW322" i="1"/>
  <c r="AV322" i="1"/>
  <c r="AU322" i="1"/>
  <c r="AT322" i="1"/>
  <c r="Y321" i="1"/>
  <c r="X321" i="1"/>
  <c r="AX321" i="1"/>
  <c r="AW321" i="1"/>
  <c r="AV321" i="1"/>
  <c r="AU321" i="1"/>
  <c r="AT321" i="1"/>
  <c r="Y320" i="1"/>
  <c r="X320" i="1"/>
  <c r="AX320" i="1"/>
  <c r="AW320" i="1"/>
  <c r="AV320" i="1"/>
  <c r="AU320" i="1"/>
  <c r="AT320" i="1"/>
  <c r="Y319" i="1"/>
  <c r="X319" i="1"/>
  <c r="AX319" i="1"/>
  <c r="AW319" i="1"/>
  <c r="AV319" i="1"/>
  <c r="AU319" i="1"/>
  <c r="AT319" i="1"/>
  <c r="Y318" i="1"/>
  <c r="X318" i="1"/>
  <c r="AX318" i="1"/>
  <c r="AW318" i="1"/>
  <c r="AV318" i="1"/>
  <c r="AU318" i="1"/>
  <c r="AT318" i="1"/>
  <c r="Y317" i="1"/>
  <c r="X317" i="1"/>
  <c r="AX317" i="1"/>
  <c r="AW317" i="1"/>
  <c r="AV317" i="1"/>
  <c r="AU317" i="1"/>
  <c r="AT317" i="1"/>
  <c r="Y316" i="1"/>
  <c r="X316" i="1"/>
  <c r="AX316" i="1"/>
  <c r="AW316" i="1"/>
  <c r="AV316" i="1"/>
  <c r="AU316" i="1"/>
  <c r="AT316" i="1"/>
  <c r="Y315" i="1"/>
  <c r="X315" i="1"/>
  <c r="AX315" i="1"/>
  <c r="AW315" i="1"/>
  <c r="AV315" i="1"/>
  <c r="AU315" i="1"/>
  <c r="AT315" i="1"/>
  <c r="Y314" i="1"/>
  <c r="X314" i="1"/>
  <c r="AX314" i="1"/>
  <c r="AW314" i="1"/>
  <c r="AV314" i="1"/>
  <c r="AU314" i="1"/>
  <c r="AT314" i="1"/>
  <c r="Y313" i="1"/>
  <c r="X313" i="1"/>
  <c r="AX313" i="1"/>
  <c r="AW313" i="1"/>
  <c r="AV313" i="1"/>
  <c r="AU313" i="1"/>
  <c r="AT313" i="1"/>
  <c r="Y312" i="1"/>
  <c r="X312" i="1"/>
  <c r="AX312" i="1"/>
  <c r="AW312" i="1"/>
  <c r="AV312" i="1"/>
  <c r="AU312" i="1"/>
  <c r="AT312" i="1"/>
  <c r="Y311" i="1"/>
  <c r="X311" i="1"/>
  <c r="AX311" i="1"/>
  <c r="AW311" i="1"/>
  <c r="AV311" i="1"/>
  <c r="AU311" i="1"/>
  <c r="AT311" i="1"/>
  <c r="Y310" i="1"/>
  <c r="X310" i="1"/>
  <c r="AX310" i="1"/>
  <c r="AW310" i="1"/>
  <c r="AV310" i="1"/>
  <c r="AU310" i="1"/>
  <c r="AT310" i="1"/>
  <c r="Y309" i="1"/>
  <c r="X309" i="1"/>
  <c r="AX309" i="1"/>
  <c r="AW309" i="1"/>
  <c r="AV309" i="1"/>
  <c r="AU309" i="1"/>
  <c r="AT309" i="1"/>
  <c r="Y308" i="1"/>
  <c r="X308" i="1"/>
  <c r="AX308" i="1"/>
  <c r="AW308" i="1"/>
  <c r="AV308" i="1"/>
  <c r="AU308" i="1"/>
  <c r="AT308" i="1"/>
  <c r="Y307" i="1"/>
  <c r="X307" i="1"/>
  <c r="AX307" i="1"/>
  <c r="AW307" i="1"/>
  <c r="AV307" i="1"/>
  <c r="AU307" i="1"/>
  <c r="AT307" i="1"/>
  <c r="Y306" i="1"/>
  <c r="X306" i="1"/>
  <c r="AX306" i="1"/>
  <c r="AW306" i="1"/>
  <c r="AV306" i="1"/>
  <c r="AU306" i="1"/>
  <c r="AT306" i="1"/>
  <c r="Y305" i="1"/>
  <c r="X305" i="1"/>
  <c r="AX305" i="1"/>
  <c r="AW305" i="1"/>
  <c r="AV305" i="1"/>
  <c r="AU305" i="1"/>
  <c r="AT305" i="1"/>
  <c r="Y304" i="1"/>
  <c r="X304" i="1"/>
  <c r="AX304" i="1"/>
  <c r="AW304" i="1"/>
  <c r="AV304" i="1"/>
  <c r="AU304" i="1"/>
  <c r="AT304" i="1"/>
  <c r="Y303" i="1"/>
  <c r="X303" i="1"/>
  <c r="AX303" i="1"/>
  <c r="AW303" i="1"/>
  <c r="AV303" i="1"/>
  <c r="AU303" i="1"/>
  <c r="AT303" i="1"/>
  <c r="Y302" i="1"/>
  <c r="X302" i="1"/>
  <c r="AX302" i="1"/>
  <c r="AW302" i="1"/>
  <c r="AV302" i="1"/>
  <c r="AU302" i="1"/>
  <c r="AT302" i="1"/>
  <c r="Y301" i="1"/>
  <c r="X301" i="1"/>
  <c r="AX301" i="1"/>
  <c r="AW301" i="1"/>
  <c r="AV301" i="1"/>
  <c r="AU301" i="1"/>
  <c r="AT301" i="1"/>
  <c r="Y300" i="1"/>
  <c r="X300" i="1"/>
  <c r="AX300" i="1"/>
  <c r="AW300" i="1"/>
  <c r="AV300" i="1"/>
  <c r="AU300" i="1"/>
  <c r="AT300" i="1"/>
  <c r="Y299" i="1"/>
  <c r="X299" i="1"/>
  <c r="AX299" i="1"/>
  <c r="AW299" i="1"/>
  <c r="AV299" i="1"/>
  <c r="AU299" i="1"/>
  <c r="AT299" i="1"/>
  <c r="Y297" i="1"/>
  <c r="X297" i="1"/>
  <c r="AX297" i="1"/>
  <c r="AW297" i="1"/>
  <c r="AV297" i="1"/>
  <c r="AU297" i="1"/>
  <c r="AT297" i="1"/>
  <c r="Y296" i="1"/>
  <c r="X296" i="1"/>
  <c r="AX296" i="1"/>
  <c r="AW296" i="1"/>
  <c r="AV296" i="1"/>
  <c r="AU296" i="1"/>
  <c r="AT296" i="1"/>
  <c r="Y295" i="1"/>
  <c r="X295" i="1"/>
  <c r="AX295" i="1"/>
  <c r="AW295" i="1"/>
  <c r="AV295" i="1"/>
  <c r="AU295" i="1"/>
  <c r="AT295" i="1"/>
  <c r="Y294" i="1"/>
  <c r="X294" i="1"/>
  <c r="AX294" i="1"/>
  <c r="AW294" i="1"/>
  <c r="AV294" i="1"/>
  <c r="AU294" i="1"/>
  <c r="AT294" i="1"/>
  <c r="Y293" i="1"/>
  <c r="X293" i="1"/>
  <c r="AX293" i="1"/>
  <c r="AW293" i="1"/>
  <c r="AV293" i="1"/>
  <c r="AU293" i="1"/>
  <c r="AT293" i="1"/>
  <c r="Y292" i="1"/>
  <c r="X292" i="1"/>
  <c r="AX292" i="1"/>
  <c r="AW292" i="1"/>
  <c r="AV292" i="1"/>
  <c r="AU292" i="1"/>
  <c r="AT292" i="1"/>
  <c r="Y291" i="1"/>
  <c r="X291" i="1"/>
  <c r="AX291" i="1"/>
  <c r="AW291" i="1"/>
  <c r="AV291" i="1"/>
  <c r="AU291" i="1"/>
  <c r="AT291" i="1"/>
  <c r="Y290" i="1"/>
  <c r="X290" i="1"/>
  <c r="AX290" i="1"/>
  <c r="AW290" i="1"/>
  <c r="AV290" i="1"/>
  <c r="AU290" i="1"/>
  <c r="AT290" i="1"/>
  <c r="Y289" i="1"/>
  <c r="X289" i="1"/>
  <c r="AX289" i="1"/>
  <c r="AW289" i="1"/>
  <c r="AV289" i="1"/>
  <c r="AU289" i="1"/>
  <c r="AT289" i="1"/>
  <c r="Y288" i="1"/>
  <c r="X288" i="1"/>
  <c r="AX288" i="1"/>
  <c r="AW288" i="1"/>
  <c r="AV288" i="1"/>
  <c r="AU288" i="1"/>
  <c r="AT288" i="1"/>
  <c r="Y287" i="1"/>
  <c r="X287" i="1"/>
  <c r="AX287" i="1"/>
  <c r="AW287" i="1"/>
  <c r="AV287" i="1"/>
  <c r="AU287" i="1"/>
  <c r="AT287" i="1"/>
  <c r="Y286" i="1"/>
  <c r="X286" i="1"/>
  <c r="AX286" i="1"/>
  <c r="AW286" i="1"/>
  <c r="AV286" i="1"/>
  <c r="AU286" i="1"/>
  <c r="AT286" i="1"/>
  <c r="Y285" i="1"/>
  <c r="X285" i="1"/>
  <c r="AX285" i="1"/>
  <c r="AW285" i="1"/>
  <c r="AV285" i="1"/>
  <c r="AU285" i="1"/>
  <c r="AT285" i="1"/>
  <c r="Y284" i="1"/>
  <c r="X284" i="1"/>
  <c r="AX284" i="1"/>
  <c r="AW284" i="1"/>
  <c r="AV284" i="1"/>
  <c r="AU284" i="1"/>
  <c r="AT284" i="1"/>
  <c r="Y283" i="1"/>
  <c r="X283" i="1"/>
  <c r="AX283" i="1"/>
  <c r="AW283" i="1"/>
  <c r="AV283" i="1"/>
  <c r="AU283" i="1"/>
  <c r="AT283" i="1"/>
  <c r="Y282" i="1"/>
  <c r="X282" i="1"/>
  <c r="AX282" i="1"/>
  <c r="AW282" i="1"/>
  <c r="AV282" i="1"/>
  <c r="AU282" i="1"/>
  <c r="AT282" i="1"/>
  <c r="Y281" i="1"/>
  <c r="X281" i="1"/>
  <c r="AX281" i="1"/>
  <c r="AW281" i="1"/>
  <c r="AV281" i="1"/>
  <c r="AU281" i="1"/>
  <c r="AT281" i="1"/>
  <c r="Y280" i="1"/>
  <c r="X280" i="1"/>
  <c r="AX280" i="1"/>
  <c r="AW280" i="1"/>
  <c r="AV280" i="1"/>
  <c r="AU280" i="1"/>
  <c r="AT280" i="1"/>
  <c r="Y279" i="1"/>
  <c r="X279" i="1"/>
  <c r="AX279" i="1"/>
  <c r="AW279" i="1"/>
  <c r="AV279" i="1"/>
  <c r="AU279" i="1"/>
  <c r="AT279" i="1"/>
  <c r="Y278" i="1"/>
  <c r="X278" i="1"/>
  <c r="AX278" i="1"/>
  <c r="AW278" i="1"/>
  <c r="AV278" i="1"/>
  <c r="AU278" i="1"/>
  <c r="AT278" i="1"/>
  <c r="Y277" i="1"/>
  <c r="X277" i="1"/>
  <c r="AX277" i="1"/>
  <c r="AW277" i="1"/>
  <c r="AV277" i="1"/>
  <c r="AU277" i="1"/>
  <c r="AT277" i="1"/>
  <c r="Y276" i="1"/>
  <c r="X276" i="1"/>
  <c r="AX276" i="1"/>
  <c r="AW276" i="1"/>
  <c r="AV276" i="1"/>
  <c r="AU276" i="1"/>
  <c r="AT276" i="1"/>
  <c r="Y275" i="1"/>
  <c r="X275" i="1"/>
  <c r="AX275" i="1"/>
  <c r="AW275" i="1"/>
  <c r="AV275" i="1"/>
  <c r="AU275" i="1"/>
  <c r="AT275" i="1"/>
  <c r="Y274" i="1"/>
  <c r="X274" i="1"/>
  <c r="AX274" i="1"/>
  <c r="AW274" i="1"/>
  <c r="AV274" i="1"/>
  <c r="AU274" i="1"/>
  <c r="AT274" i="1"/>
  <c r="Y273" i="1"/>
  <c r="X273" i="1"/>
  <c r="AX273" i="1"/>
  <c r="AW273" i="1"/>
  <c r="AV273" i="1"/>
  <c r="AU273" i="1"/>
  <c r="AT273" i="1"/>
  <c r="Y272" i="1"/>
  <c r="X272" i="1"/>
  <c r="AX272" i="1"/>
  <c r="AW272" i="1"/>
  <c r="AV272" i="1"/>
  <c r="AU272" i="1"/>
  <c r="AT272" i="1"/>
  <c r="Y271" i="1"/>
  <c r="X271" i="1"/>
  <c r="AX271" i="1"/>
  <c r="AW271" i="1"/>
  <c r="AV271" i="1"/>
  <c r="AU271" i="1"/>
  <c r="AT271" i="1"/>
  <c r="Y270" i="1"/>
  <c r="X270" i="1"/>
  <c r="AX270" i="1"/>
  <c r="AW270" i="1"/>
  <c r="AV270" i="1"/>
  <c r="AU270" i="1"/>
  <c r="AT270" i="1"/>
  <c r="Y269" i="1"/>
  <c r="X269" i="1"/>
  <c r="AX269" i="1"/>
  <c r="AW269" i="1"/>
  <c r="AV269" i="1"/>
  <c r="AU269" i="1"/>
  <c r="AT269" i="1"/>
  <c r="Y268" i="1"/>
  <c r="X268" i="1"/>
  <c r="AX268" i="1"/>
  <c r="AW268" i="1"/>
  <c r="AV268" i="1"/>
  <c r="AU268" i="1"/>
  <c r="AT268" i="1"/>
  <c r="Y267" i="1"/>
  <c r="X267" i="1"/>
  <c r="AX267" i="1"/>
  <c r="AW267" i="1"/>
  <c r="AV267" i="1"/>
  <c r="AU267" i="1"/>
  <c r="AT267" i="1"/>
  <c r="Y266" i="1"/>
  <c r="X266" i="1"/>
  <c r="AX266" i="1"/>
  <c r="AW266" i="1"/>
  <c r="AV266" i="1"/>
  <c r="AU266" i="1"/>
  <c r="AT266" i="1"/>
  <c r="Y265" i="1"/>
  <c r="X265" i="1"/>
  <c r="AX265" i="1"/>
  <c r="AW265" i="1"/>
  <c r="AV265" i="1"/>
  <c r="AU265" i="1"/>
  <c r="AT265" i="1"/>
  <c r="Y264" i="1"/>
  <c r="X264" i="1"/>
  <c r="AX264" i="1"/>
  <c r="AW264" i="1"/>
  <c r="AV264" i="1"/>
  <c r="AU264" i="1"/>
  <c r="AT264" i="1"/>
  <c r="Y263" i="1"/>
  <c r="X263" i="1"/>
  <c r="AX263" i="1"/>
  <c r="AW263" i="1"/>
  <c r="AV263" i="1"/>
  <c r="AU263" i="1"/>
  <c r="AT263" i="1"/>
  <c r="Y262" i="1"/>
  <c r="X262" i="1"/>
  <c r="AX262" i="1"/>
  <c r="AW262" i="1"/>
  <c r="AV262" i="1"/>
  <c r="AU262" i="1"/>
  <c r="AT262" i="1"/>
  <c r="Y261" i="1"/>
  <c r="X261" i="1"/>
  <c r="AX261" i="1"/>
  <c r="AW261" i="1"/>
  <c r="AV261" i="1"/>
  <c r="AU261" i="1"/>
  <c r="AT261" i="1"/>
  <c r="Y260" i="1"/>
  <c r="X260" i="1"/>
  <c r="AX260" i="1"/>
  <c r="AW260" i="1"/>
  <c r="AV260" i="1"/>
  <c r="AU260" i="1"/>
  <c r="AT260" i="1"/>
  <c r="Y259" i="1"/>
  <c r="X259" i="1"/>
  <c r="AX259" i="1"/>
  <c r="AW259" i="1"/>
  <c r="AV259" i="1"/>
  <c r="AU259" i="1"/>
  <c r="AT259" i="1"/>
  <c r="Y258" i="1"/>
  <c r="X258" i="1"/>
  <c r="AX258" i="1"/>
  <c r="AW258" i="1"/>
  <c r="AV258" i="1"/>
  <c r="AU258" i="1"/>
  <c r="AT258" i="1"/>
  <c r="Y257" i="1"/>
  <c r="X257" i="1"/>
  <c r="AX257" i="1"/>
  <c r="AW257" i="1"/>
  <c r="AV257" i="1"/>
  <c r="AU257" i="1"/>
  <c r="AT257" i="1"/>
  <c r="Y256" i="1"/>
  <c r="X256" i="1"/>
  <c r="AX256" i="1"/>
  <c r="AW256" i="1"/>
  <c r="AV256" i="1"/>
  <c r="AU256" i="1"/>
  <c r="AT256" i="1"/>
  <c r="Y255" i="1"/>
  <c r="X255" i="1"/>
  <c r="AX255" i="1"/>
  <c r="AW255" i="1"/>
  <c r="AV255" i="1"/>
  <c r="AU255" i="1"/>
  <c r="AT255" i="1"/>
  <c r="Y254" i="1"/>
  <c r="X254" i="1"/>
  <c r="AX254" i="1"/>
  <c r="AW254" i="1"/>
  <c r="AV254" i="1"/>
  <c r="AU254" i="1"/>
  <c r="AT254" i="1"/>
  <c r="Y253" i="1"/>
  <c r="X253" i="1"/>
  <c r="AX253" i="1"/>
  <c r="AW253" i="1"/>
  <c r="AV253" i="1"/>
  <c r="AU253" i="1"/>
  <c r="AT253" i="1"/>
  <c r="A5" i="1"/>
  <c r="Y250" i="1"/>
  <c r="X250" i="1"/>
  <c r="AX250" i="1"/>
  <c r="AW250" i="1"/>
  <c r="AV250" i="1"/>
  <c r="AU250" i="1"/>
  <c r="AT250" i="1"/>
  <c r="AX249" i="1"/>
  <c r="AW249" i="1"/>
  <c r="AV249" i="1"/>
  <c r="AU249" i="1"/>
  <c r="AT249" i="1"/>
  <c r="AX248" i="1"/>
  <c r="AW248" i="1"/>
  <c r="AV248" i="1"/>
  <c r="AU248" i="1"/>
  <c r="AT248" i="1"/>
  <c r="A4" i="1"/>
  <c r="Y246" i="1"/>
  <c r="X246" i="1"/>
  <c r="AX246" i="1"/>
  <c r="AW246" i="1"/>
  <c r="AV246" i="1"/>
  <c r="AU246" i="1"/>
  <c r="AT246" i="1"/>
  <c r="Y245" i="1"/>
  <c r="X245" i="1"/>
  <c r="AX245" i="1"/>
  <c r="AW245" i="1"/>
  <c r="AV245" i="1"/>
  <c r="AU245" i="1"/>
  <c r="AT245" i="1"/>
  <c r="Y244" i="1"/>
  <c r="X244" i="1"/>
  <c r="AX244" i="1"/>
  <c r="AW244" i="1"/>
  <c r="AV244" i="1"/>
  <c r="AU244" i="1"/>
  <c r="AT244" i="1"/>
  <c r="Y243" i="1"/>
  <c r="X243" i="1"/>
  <c r="AX243" i="1"/>
  <c r="AW243" i="1"/>
  <c r="AV243" i="1"/>
  <c r="AU243" i="1"/>
  <c r="AT243" i="1"/>
  <c r="Y242" i="1"/>
  <c r="X242" i="1"/>
  <c r="AX242" i="1"/>
  <c r="AW242" i="1"/>
  <c r="AV242" i="1"/>
  <c r="AU242" i="1"/>
  <c r="AT242" i="1"/>
  <c r="Y241" i="1"/>
  <c r="X241" i="1"/>
  <c r="AX241" i="1"/>
  <c r="AW241" i="1"/>
  <c r="AV241" i="1"/>
  <c r="AU241" i="1"/>
  <c r="AT241" i="1"/>
  <c r="Y240" i="1"/>
  <c r="X240" i="1"/>
  <c r="AX240" i="1"/>
  <c r="AW240" i="1"/>
  <c r="AV240" i="1"/>
  <c r="AU240" i="1"/>
  <c r="AT240" i="1"/>
  <c r="Y239" i="1"/>
  <c r="X239" i="1"/>
  <c r="AX239" i="1"/>
  <c r="AW239" i="1"/>
  <c r="AV239" i="1"/>
  <c r="AU239" i="1"/>
  <c r="AT239" i="1"/>
  <c r="Y238" i="1"/>
  <c r="X238" i="1"/>
  <c r="AX238" i="1"/>
  <c r="AW238" i="1"/>
  <c r="AV238" i="1"/>
  <c r="AU238" i="1"/>
  <c r="AT238" i="1"/>
  <c r="Y237" i="1"/>
  <c r="X237" i="1"/>
  <c r="AX237" i="1"/>
  <c r="AW237" i="1"/>
  <c r="AV237" i="1"/>
  <c r="AU237" i="1"/>
  <c r="AT237" i="1"/>
  <c r="Y236" i="1"/>
  <c r="X236" i="1"/>
  <c r="AX236" i="1"/>
  <c r="AW236" i="1"/>
  <c r="AV236" i="1"/>
  <c r="AU236" i="1"/>
  <c r="AT236" i="1"/>
  <c r="Y235" i="1"/>
  <c r="X235" i="1"/>
  <c r="AX235" i="1"/>
  <c r="AW235" i="1"/>
  <c r="AV235" i="1"/>
  <c r="AU235" i="1"/>
  <c r="AT235" i="1"/>
  <c r="Y234" i="1"/>
  <c r="X234" i="1"/>
  <c r="AX234" i="1"/>
  <c r="AW234" i="1"/>
  <c r="AV234" i="1"/>
  <c r="AU234" i="1"/>
  <c r="AT234" i="1"/>
  <c r="Y233" i="1"/>
  <c r="X233" i="1"/>
  <c r="AX233" i="1"/>
  <c r="AW233" i="1"/>
  <c r="AV233" i="1"/>
  <c r="AU233" i="1"/>
  <c r="AT233" i="1"/>
  <c r="Y232" i="1"/>
  <c r="X232" i="1"/>
  <c r="AX232" i="1"/>
  <c r="AW232" i="1"/>
  <c r="AV232" i="1"/>
  <c r="AU232" i="1"/>
  <c r="AT232" i="1"/>
  <c r="Y231" i="1"/>
  <c r="X231" i="1"/>
  <c r="AX231" i="1"/>
  <c r="AW231" i="1"/>
  <c r="AV231" i="1"/>
  <c r="AU231" i="1"/>
  <c r="AT231" i="1"/>
  <c r="Y230" i="1"/>
  <c r="X230" i="1"/>
  <c r="AX230" i="1"/>
  <c r="AW230" i="1"/>
  <c r="AV230" i="1"/>
  <c r="AU230" i="1"/>
  <c r="AT230" i="1"/>
  <c r="Y229" i="1"/>
  <c r="X229" i="1"/>
  <c r="AX229" i="1"/>
  <c r="AW229" i="1"/>
  <c r="AV229" i="1"/>
  <c r="AU229" i="1"/>
  <c r="AT229" i="1"/>
  <c r="Y228" i="1"/>
  <c r="X228" i="1"/>
  <c r="AX228" i="1"/>
  <c r="AW228" i="1"/>
  <c r="AV228" i="1"/>
  <c r="AU228" i="1"/>
  <c r="AT228" i="1"/>
  <c r="Y227" i="1"/>
  <c r="X227" i="1"/>
  <c r="AX227" i="1"/>
  <c r="AW227" i="1"/>
  <c r="AV227" i="1"/>
  <c r="AU227" i="1"/>
  <c r="AT227" i="1"/>
  <c r="Y226" i="1"/>
  <c r="X226" i="1"/>
  <c r="AX226" i="1"/>
  <c r="AW226" i="1"/>
  <c r="AV226" i="1"/>
  <c r="AU226" i="1"/>
  <c r="AT226" i="1"/>
  <c r="Y225" i="1"/>
  <c r="X225" i="1"/>
  <c r="AX225" i="1"/>
  <c r="AW225" i="1"/>
  <c r="AV225" i="1"/>
  <c r="AU225" i="1"/>
  <c r="AT225" i="1"/>
  <c r="Y224" i="1"/>
  <c r="X224" i="1"/>
  <c r="AX224" i="1"/>
  <c r="AW224" i="1"/>
  <c r="AV224" i="1"/>
  <c r="AU224" i="1"/>
  <c r="AT224" i="1"/>
  <c r="Y223" i="1"/>
  <c r="X223" i="1"/>
  <c r="AX223" i="1"/>
  <c r="AW223" i="1"/>
  <c r="AV223" i="1"/>
  <c r="AU223" i="1"/>
  <c r="AT223" i="1"/>
  <c r="Y222" i="1"/>
  <c r="X222" i="1"/>
  <c r="AX222" i="1"/>
  <c r="AW222" i="1"/>
  <c r="AV222" i="1"/>
  <c r="AU222" i="1"/>
  <c r="AT222" i="1"/>
  <c r="Y221" i="1"/>
  <c r="X221" i="1"/>
  <c r="AX221" i="1"/>
  <c r="AW221" i="1"/>
  <c r="AV221" i="1"/>
  <c r="AU221" i="1"/>
  <c r="AT221" i="1"/>
  <c r="Y220" i="1"/>
  <c r="X220" i="1"/>
  <c r="AX220" i="1"/>
  <c r="AW220" i="1"/>
  <c r="AV220" i="1"/>
  <c r="AU220" i="1"/>
  <c r="AT220" i="1"/>
  <c r="Y219" i="1"/>
  <c r="X219" i="1"/>
  <c r="AX219" i="1"/>
  <c r="AW219" i="1"/>
  <c r="AV219" i="1"/>
  <c r="AU219" i="1"/>
  <c r="AT219" i="1"/>
  <c r="Y218" i="1"/>
  <c r="X218" i="1"/>
  <c r="AX218" i="1"/>
  <c r="AW218" i="1"/>
  <c r="AV218" i="1"/>
  <c r="AU218" i="1"/>
  <c r="AT218" i="1"/>
  <c r="Y217" i="1"/>
  <c r="X217" i="1"/>
  <c r="AX217" i="1"/>
  <c r="AW217" i="1"/>
  <c r="AV217" i="1"/>
  <c r="AU217" i="1"/>
  <c r="AT217" i="1"/>
  <c r="Y216" i="1"/>
  <c r="X216" i="1"/>
  <c r="AX216" i="1"/>
  <c r="AW216" i="1"/>
  <c r="AV216" i="1"/>
  <c r="AU216" i="1"/>
  <c r="AT216" i="1"/>
  <c r="Y215" i="1"/>
  <c r="X215" i="1"/>
  <c r="AX215" i="1"/>
  <c r="AW215" i="1"/>
  <c r="AV215" i="1"/>
  <c r="AU215" i="1"/>
  <c r="AT215" i="1"/>
  <c r="Y214" i="1"/>
  <c r="X214" i="1"/>
  <c r="AX214" i="1"/>
  <c r="AW214" i="1"/>
  <c r="AV214" i="1"/>
  <c r="AU214" i="1"/>
  <c r="AT214" i="1"/>
  <c r="Y213" i="1"/>
  <c r="X213" i="1"/>
  <c r="AX213" i="1"/>
  <c r="AW213" i="1"/>
  <c r="AV213" i="1"/>
  <c r="AU213" i="1"/>
  <c r="AT213" i="1"/>
  <c r="Y212" i="1"/>
  <c r="X212" i="1"/>
  <c r="AX212" i="1"/>
  <c r="AW212" i="1"/>
  <c r="AV212" i="1"/>
  <c r="AU212" i="1"/>
  <c r="AT212" i="1"/>
  <c r="Y211" i="1"/>
  <c r="X211" i="1"/>
  <c r="AX211" i="1"/>
  <c r="AW211" i="1"/>
  <c r="AV211" i="1"/>
  <c r="AU211" i="1"/>
  <c r="AT211" i="1"/>
  <c r="Y210" i="1"/>
  <c r="X210" i="1"/>
  <c r="AX210" i="1"/>
  <c r="AW210" i="1"/>
  <c r="AV210" i="1"/>
  <c r="AU210" i="1"/>
  <c r="AT210" i="1"/>
  <c r="A3" i="1"/>
  <c r="Y208" i="1"/>
  <c r="X208" i="1"/>
  <c r="AX208" i="1"/>
  <c r="AW208" i="1"/>
  <c r="AV208" i="1"/>
  <c r="AU208" i="1"/>
  <c r="AT208" i="1"/>
  <c r="Y207" i="1"/>
  <c r="X207" i="1"/>
  <c r="AX207" i="1"/>
  <c r="AW207" i="1"/>
  <c r="AV207" i="1"/>
  <c r="AU207" i="1"/>
  <c r="AT207" i="1"/>
  <c r="Y206" i="1"/>
  <c r="X206" i="1"/>
  <c r="AX206" i="1"/>
  <c r="AW206" i="1"/>
  <c r="AV206" i="1"/>
  <c r="AU206" i="1"/>
  <c r="AT206" i="1"/>
  <c r="Y205" i="1"/>
  <c r="X205" i="1"/>
  <c r="AX205" i="1"/>
  <c r="AW205" i="1"/>
  <c r="AV205" i="1"/>
  <c r="AU205" i="1"/>
  <c r="AT205" i="1"/>
  <c r="Y204" i="1"/>
  <c r="X204" i="1"/>
  <c r="AX204" i="1"/>
  <c r="AW204" i="1"/>
  <c r="AV204" i="1"/>
  <c r="AU204" i="1"/>
  <c r="AT204" i="1"/>
  <c r="Y203" i="1"/>
  <c r="X203" i="1"/>
  <c r="AX203" i="1"/>
  <c r="AW203" i="1"/>
  <c r="AV203" i="1"/>
  <c r="AU203" i="1"/>
  <c r="AT203" i="1"/>
  <c r="Y202" i="1"/>
  <c r="X202" i="1"/>
  <c r="AX202" i="1"/>
  <c r="AW202" i="1"/>
  <c r="AV202" i="1"/>
  <c r="AU202" i="1"/>
  <c r="AT202" i="1"/>
  <c r="Y201" i="1"/>
  <c r="X201" i="1"/>
  <c r="AX201" i="1"/>
  <c r="AW201" i="1"/>
  <c r="AV201" i="1"/>
  <c r="AU201" i="1"/>
  <c r="AT201" i="1"/>
  <c r="Y200" i="1"/>
  <c r="X200" i="1"/>
  <c r="AX200" i="1"/>
  <c r="AW200" i="1"/>
  <c r="AV200" i="1"/>
  <c r="AU200" i="1"/>
  <c r="AT200" i="1"/>
  <c r="Y199" i="1"/>
  <c r="X199" i="1"/>
  <c r="AX199" i="1"/>
  <c r="AW199" i="1"/>
  <c r="AV199" i="1"/>
  <c r="AU199" i="1"/>
  <c r="AT199" i="1"/>
  <c r="Y198" i="1"/>
  <c r="X198" i="1"/>
  <c r="AX198" i="1"/>
  <c r="AW198" i="1"/>
  <c r="AV198" i="1"/>
  <c r="AU198" i="1"/>
  <c r="AT198" i="1"/>
  <c r="Y197" i="1"/>
  <c r="X197" i="1"/>
  <c r="AX197" i="1"/>
  <c r="AW197" i="1"/>
  <c r="AV197" i="1"/>
  <c r="AU197" i="1"/>
  <c r="AT197" i="1"/>
  <c r="Y196" i="1"/>
  <c r="X196" i="1"/>
  <c r="AX196" i="1"/>
  <c r="AW196" i="1"/>
  <c r="AV196" i="1"/>
  <c r="AU196" i="1"/>
  <c r="AT196" i="1"/>
  <c r="Y195" i="1"/>
  <c r="X195" i="1"/>
  <c r="AX195" i="1"/>
  <c r="AW195" i="1"/>
  <c r="AV195" i="1"/>
  <c r="AU195" i="1"/>
  <c r="AT195" i="1"/>
  <c r="Y194" i="1"/>
  <c r="X194" i="1"/>
  <c r="AX194" i="1"/>
  <c r="AW194" i="1"/>
  <c r="AV194" i="1"/>
  <c r="AU194" i="1"/>
  <c r="AT194" i="1"/>
  <c r="Y193" i="1"/>
  <c r="X193" i="1"/>
  <c r="AX193" i="1"/>
  <c r="AW193" i="1"/>
  <c r="AV193" i="1"/>
  <c r="AU193" i="1"/>
  <c r="AT193" i="1"/>
  <c r="Y192" i="1"/>
  <c r="X192" i="1"/>
  <c r="AX192" i="1"/>
  <c r="AW192" i="1"/>
  <c r="AV192" i="1"/>
  <c r="AU192" i="1"/>
  <c r="AT192" i="1"/>
  <c r="Y191" i="1"/>
  <c r="X191" i="1"/>
  <c r="AX191" i="1"/>
  <c r="AW191" i="1"/>
  <c r="AV191" i="1"/>
  <c r="AU191" i="1"/>
  <c r="AT191" i="1"/>
  <c r="Y190" i="1"/>
  <c r="X190" i="1"/>
  <c r="AX190" i="1"/>
  <c r="AW190" i="1"/>
  <c r="AV190" i="1"/>
  <c r="AU190" i="1"/>
  <c r="AT190" i="1"/>
  <c r="Y189" i="1"/>
  <c r="X189" i="1"/>
  <c r="AX189" i="1"/>
  <c r="AW189" i="1"/>
  <c r="AV189" i="1"/>
  <c r="AU189" i="1"/>
  <c r="AT189" i="1"/>
  <c r="Y188" i="1"/>
  <c r="X188" i="1"/>
  <c r="AX188" i="1"/>
  <c r="AW188" i="1"/>
  <c r="AV188" i="1"/>
  <c r="AU188" i="1"/>
  <c r="AT188" i="1"/>
  <c r="Y187" i="1"/>
  <c r="X187" i="1"/>
  <c r="AX187" i="1"/>
  <c r="AW187" i="1"/>
  <c r="AV187" i="1"/>
  <c r="AU187" i="1"/>
  <c r="AT187" i="1"/>
  <c r="Y186" i="1"/>
  <c r="X186" i="1"/>
  <c r="AX186" i="1"/>
  <c r="AW186" i="1"/>
  <c r="AV186" i="1"/>
  <c r="AU186" i="1"/>
  <c r="AT186" i="1"/>
  <c r="Y185" i="1"/>
  <c r="X185" i="1"/>
  <c r="AX185" i="1"/>
  <c r="AW185" i="1"/>
  <c r="AV185" i="1"/>
  <c r="AU185" i="1"/>
  <c r="AT185" i="1"/>
  <c r="Y184" i="1"/>
  <c r="X184" i="1"/>
  <c r="AX184" i="1"/>
  <c r="AW184" i="1"/>
  <c r="AV184" i="1"/>
  <c r="AU184" i="1"/>
  <c r="AT184" i="1"/>
  <c r="Y183" i="1"/>
  <c r="X183" i="1"/>
  <c r="AX183" i="1"/>
  <c r="AW183" i="1"/>
  <c r="AV183" i="1"/>
  <c r="AU183" i="1"/>
  <c r="AT183" i="1"/>
  <c r="Y182" i="1"/>
  <c r="X182" i="1"/>
  <c r="AX182" i="1"/>
  <c r="AW182" i="1"/>
  <c r="AV182" i="1"/>
  <c r="AU182" i="1"/>
  <c r="AT182" i="1"/>
  <c r="Y181" i="1"/>
  <c r="X181" i="1"/>
  <c r="AX181" i="1"/>
  <c r="AW181" i="1"/>
  <c r="AV181" i="1"/>
  <c r="AU181" i="1"/>
  <c r="AT181" i="1"/>
  <c r="Y180" i="1"/>
  <c r="X180" i="1"/>
  <c r="AX180" i="1"/>
  <c r="AW180" i="1"/>
  <c r="AV180" i="1"/>
  <c r="AU180" i="1"/>
  <c r="AT180" i="1"/>
  <c r="Y179" i="1"/>
  <c r="X179" i="1"/>
  <c r="AX179" i="1"/>
  <c r="AW179" i="1"/>
  <c r="AV179" i="1"/>
  <c r="AU179" i="1"/>
  <c r="AT179" i="1"/>
  <c r="Y178" i="1"/>
  <c r="X178" i="1"/>
  <c r="AX178" i="1"/>
  <c r="AW178" i="1"/>
  <c r="AV178" i="1"/>
  <c r="AU178" i="1"/>
  <c r="AT178" i="1"/>
  <c r="Y177" i="1"/>
  <c r="X177" i="1"/>
  <c r="AX177" i="1"/>
  <c r="AW177" i="1"/>
  <c r="AV177" i="1"/>
  <c r="AU177" i="1"/>
  <c r="AT177" i="1"/>
  <c r="Y176" i="1"/>
  <c r="X176" i="1"/>
  <c r="AX176" i="1"/>
  <c r="AW176" i="1"/>
  <c r="AV176" i="1"/>
  <c r="AU176" i="1"/>
  <c r="AT176" i="1"/>
  <c r="Y175" i="1"/>
  <c r="X175" i="1"/>
  <c r="AX175" i="1"/>
  <c r="AW175" i="1"/>
  <c r="AV175" i="1"/>
  <c r="AU175" i="1"/>
  <c r="AT175" i="1"/>
  <c r="Y174" i="1"/>
  <c r="X174" i="1"/>
  <c r="AX174" i="1"/>
  <c r="AW174" i="1"/>
  <c r="AV174" i="1"/>
  <c r="AU174" i="1"/>
  <c r="AT174" i="1"/>
  <c r="Y173" i="1"/>
  <c r="X173" i="1"/>
  <c r="AX173" i="1"/>
  <c r="AW173" i="1"/>
  <c r="AV173" i="1"/>
  <c r="AU173" i="1"/>
  <c r="AT173" i="1"/>
  <c r="Y172" i="1"/>
  <c r="X172" i="1"/>
  <c r="AX172" i="1"/>
  <c r="AW172" i="1"/>
  <c r="AV172" i="1"/>
  <c r="AU172" i="1"/>
  <c r="AT172" i="1"/>
  <c r="Y171" i="1"/>
  <c r="X171" i="1"/>
  <c r="AX171" i="1"/>
  <c r="AW171" i="1"/>
  <c r="AV171" i="1"/>
  <c r="AU171" i="1"/>
  <c r="AT171" i="1"/>
  <c r="Y170" i="1"/>
  <c r="X170" i="1"/>
  <c r="AX170" i="1"/>
  <c r="AW170" i="1"/>
  <c r="AV170" i="1"/>
  <c r="AU170" i="1"/>
  <c r="AT170" i="1"/>
  <c r="Y169" i="1"/>
  <c r="X169" i="1"/>
  <c r="AX169" i="1"/>
  <c r="AW169" i="1"/>
  <c r="AV169" i="1"/>
  <c r="AU169" i="1"/>
  <c r="AT169" i="1"/>
  <c r="Y168" i="1"/>
  <c r="X168" i="1"/>
  <c r="AX168" i="1"/>
  <c r="AW168" i="1"/>
  <c r="AV168" i="1"/>
  <c r="AU168" i="1"/>
  <c r="AT168" i="1"/>
  <c r="Y167" i="1"/>
  <c r="X167" i="1"/>
  <c r="AX167" i="1"/>
  <c r="AW167" i="1"/>
  <c r="AV167" i="1"/>
  <c r="AU167" i="1"/>
  <c r="AT167" i="1"/>
  <c r="Y166" i="1"/>
  <c r="X166" i="1"/>
  <c r="AX166" i="1"/>
  <c r="AW166" i="1"/>
  <c r="AV166" i="1"/>
  <c r="AU166" i="1"/>
  <c r="AT166" i="1"/>
  <c r="Y165" i="1"/>
  <c r="X165" i="1"/>
  <c r="AX165" i="1"/>
  <c r="AW165" i="1"/>
  <c r="AV165" i="1"/>
  <c r="AU165" i="1"/>
  <c r="AT165" i="1"/>
  <c r="Y164" i="1"/>
  <c r="X164" i="1"/>
  <c r="AX164" i="1"/>
  <c r="AW164" i="1"/>
  <c r="AV164" i="1"/>
  <c r="AU164" i="1"/>
  <c r="AT164" i="1"/>
  <c r="Y163" i="1"/>
  <c r="X163" i="1"/>
  <c r="AX163" i="1"/>
  <c r="AW163" i="1"/>
  <c r="AV163" i="1"/>
  <c r="AU163" i="1"/>
  <c r="AT163" i="1"/>
  <c r="Y162" i="1"/>
  <c r="X162" i="1"/>
  <c r="AX162" i="1"/>
  <c r="AW162" i="1"/>
  <c r="AV162" i="1"/>
  <c r="AU162" i="1"/>
  <c r="AT162" i="1"/>
  <c r="Y161" i="1"/>
  <c r="X161" i="1"/>
  <c r="AX161" i="1"/>
  <c r="AW161" i="1"/>
  <c r="AV161" i="1"/>
  <c r="AU161" i="1"/>
  <c r="AT161" i="1"/>
  <c r="Y160" i="1"/>
  <c r="X160" i="1"/>
  <c r="AX160" i="1"/>
  <c r="AW160" i="1"/>
  <c r="AV160" i="1"/>
  <c r="AU160" i="1"/>
  <c r="AT160" i="1"/>
  <c r="Y159" i="1"/>
  <c r="X159" i="1"/>
  <c r="AX159" i="1"/>
  <c r="AW159" i="1"/>
  <c r="AV159" i="1"/>
  <c r="AU159" i="1"/>
  <c r="AT159" i="1"/>
  <c r="Y158" i="1"/>
  <c r="X158" i="1"/>
  <c r="AX158" i="1"/>
  <c r="AW158" i="1"/>
  <c r="AV158" i="1"/>
  <c r="AU158" i="1"/>
  <c r="AT158" i="1"/>
  <c r="Y157" i="1"/>
  <c r="X157" i="1"/>
  <c r="AX157" i="1"/>
  <c r="AW157" i="1"/>
  <c r="AV157" i="1"/>
  <c r="AU157" i="1"/>
  <c r="AT157" i="1"/>
  <c r="Y156" i="1"/>
  <c r="X156" i="1"/>
  <c r="AX156" i="1"/>
  <c r="AW156" i="1"/>
  <c r="AV156" i="1"/>
  <c r="AU156" i="1"/>
  <c r="AT156" i="1"/>
  <c r="Y155" i="1"/>
  <c r="X155" i="1"/>
  <c r="AX155" i="1"/>
  <c r="AW155" i="1"/>
  <c r="AV155" i="1"/>
  <c r="AU155" i="1"/>
  <c r="AT155" i="1"/>
  <c r="Y154" i="1"/>
  <c r="X154" i="1"/>
  <c r="AX154" i="1"/>
  <c r="AW154" i="1"/>
  <c r="AV154" i="1"/>
  <c r="AU154" i="1"/>
  <c r="AT154" i="1"/>
  <c r="Y153" i="1"/>
  <c r="X153" i="1"/>
  <c r="AX153" i="1"/>
  <c r="AW153" i="1"/>
  <c r="AV153" i="1"/>
  <c r="AU153" i="1"/>
  <c r="AT153" i="1"/>
  <c r="Y152" i="1"/>
  <c r="X152" i="1"/>
  <c r="AX152" i="1"/>
  <c r="AW152" i="1"/>
  <c r="AV152" i="1"/>
  <c r="AU152" i="1"/>
  <c r="AT152" i="1"/>
  <c r="Y151" i="1"/>
  <c r="X151" i="1"/>
  <c r="AX151" i="1"/>
  <c r="AW151" i="1"/>
  <c r="AV151" i="1"/>
  <c r="AU151" i="1"/>
  <c r="AT151" i="1"/>
  <c r="Y150" i="1"/>
  <c r="X150" i="1"/>
  <c r="AX150" i="1"/>
  <c r="AW150" i="1"/>
  <c r="AV150" i="1"/>
  <c r="AU150" i="1"/>
  <c r="AT150" i="1"/>
  <c r="Y149" i="1"/>
  <c r="X149" i="1"/>
  <c r="AX149" i="1"/>
  <c r="AW149" i="1"/>
  <c r="AV149" i="1"/>
  <c r="AU149" i="1"/>
  <c r="AT149" i="1"/>
  <c r="Y148" i="1"/>
  <c r="X148" i="1"/>
  <c r="AX148" i="1"/>
  <c r="AW148" i="1"/>
  <c r="AV148" i="1"/>
  <c r="AU148" i="1"/>
  <c r="AT148" i="1"/>
  <c r="Y147" i="1"/>
  <c r="X147" i="1"/>
  <c r="AX147" i="1"/>
  <c r="AW147" i="1"/>
  <c r="AV147" i="1"/>
  <c r="AU147" i="1"/>
  <c r="AT147" i="1"/>
  <c r="Y146" i="1"/>
  <c r="X146" i="1"/>
  <c r="AX146" i="1"/>
  <c r="AW146" i="1"/>
  <c r="AV146" i="1"/>
  <c r="AU146" i="1"/>
  <c r="AT146" i="1"/>
  <c r="Y145" i="1"/>
  <c r="X145" i="1"/>
  <c r="AX145" i="1"/>
  <c r="AW145" i="1"/>
  <c r="AV145" i="1"/>
  <c r="AU145" i="1"/>
  <c r="AT145" i="1"/>
  <c r="Y144" i="1"/>
  <c r="X144" i="1"/>
  <c r="AX144" i="1"/>
  <c r="AW144" i="1"/>
  <c r="AV144" i="1"/>
  <c r="AU144" i="1"/>
  <c r="AT144" i="1"/>
  <c r="Y143" i="1"/>
  <c r="X143" i="1"/>
  <c r="AX143" i="1"/>
  <c r="AW143" i="1"/>
  <c r="AV143" i="1"/>
  <c r="AU143" i="1"/>
  <c r="AT143" i="1"/>
  <c r="Y142" i="1"/>
  <c r="X142" i="1"/>
  <c r="AX142" i="1"/>
  <c r="AW142" i="1"/>
  <c r="AV142" i="1"/>
  <c r="AU142" i="1"/>
  <c r="AT142" i="1"/>
  <c r="Y141" i="1"/>
  <c r="X141" i="1"/>
  <c r="AX141" i="1"/>
  <c r="AW141" i="1"/>
  <c r="AV141" i="1"/>
  <c r="AU141" i="1"/>
  <c r="AT141" i="1"/>
  <c r="Y140" i="1"/>
  <c r="X140" i="1"/>
  <c r="AX140" i="1"/>
  <c r="AW140" i="1"/>
  <c r="AV140" i="1"/>
  <c r="AU140" i="1"/>
  <c r="AT140" i="1"/>
  <c r="Y139" i="1"/>
  <c r="X139" i="1"/>
  <c r="AX139" i="1"/>
  <c r="AW139" i="1"/>
  <c r="AV139" i="1"/>
  <c r="AU139" i="1"/>
  <c r="AT139" i="1"/>
  <c r="Y138" i="1"/>
  <c r="X138" i="1"/>
  <c r="AX138" i="1"/>
  <c r="AW138" i="1"/>
  <c r="AV138" i="1"/>
  <c r="AU138" i="1"/>
  <c r="AT138" i="1"/>
  <c r="Y137" i="1"/>
  <c r="X137" i="1"/>
  <c r="AX137" i="1"/>
  <c r="AW137" i="1"/>
  <c r="AV137" i="1"/>
  <c r="AU137" i="1"/>
  <c r="AT137" i="1"/>
  <c r="Y136" i="1"/>
  <c r="X136" i="1"/>
  <c r="AX136" i="1"/>
  <c r="AW136" i="1"/>
  <c r="AV136" i="1"/>
  <c r="AU136" i="1"/>
  <c r="AT136" i="1"/>
  <c r="Y135" i="1"/>
  <c r="X135" i="1"/>
  <c r="AX135" i="1"/>
  <c r="AW135" i="1"/>
  <c r="AV135" i="1"/>
  <c r="AU135" i="1"/>
  <c r="AT135" i="1"/>
  <c r="Y134" i="1"/>
  <c r="X134" i="1"/>
  <c r="AX134" i="1"/>
  <c r="AW134" i="1"/>
  <c r="AV134" i="1"/>
  <c r="AU134" i="1"/>
  <c r="AT134" i="1"/>
  <c r="Y133" i="1"/>
  <c r="X133" i="1"/>
  <c r="AX133" i="1"/>
  <c r="AW133" i="1"/>
  <c r="AV133" i="1"/>
  <c r="AU133" i="1"/>
  <c r="AT133" i="1"/>
  <c r="Y132" i="1"/>
  <c r="X132" i="1"/>
  <c r="AX132" i="1"/>
  <c r="AW132" i="1"/>
  <c r="AV132" i="1"/>
  <c r="AU132" i="1"/>
  <c r="AT132" i="1"/>
  <c r="Y131" i="1"/>
  <c r="X131" i="1"/>
  <c r="AX131" i="1"/>
  <c r="AW131" i="1"/>
  <c r="AV131" i="1"/>
  <c r="AU131" i="1"/>
  <c r="AT131" i="1"/>
  <c r="Y130" i="1"/>
  <c r="X130" i="1"/>
  <c r="AX130" i="1"/>
  <c r="AW130" i="1"/>
  <c r="AV130" i="1"/>
  <c r="AU130" i="1"/>
  <c r="AT130" i="1"/>
  <c r="Y129" i="1"/>
  <c r="X129" i="1"/>
  <c r="AX129" i="1"/>
  <c r="AW129" i="1"/>
  <c r="AV129" i="1"/>
  <c r="AU129" i="1"/>
  <c r="AT129" i="1"/>
  <c r="Y128" i="1"/>
  <c r="X128" i="1"/>
  <c r="AX128" i="1"/>
  <c r="AW128" i="1"/>
  <c r="AV128" i="1"/>
  <c r="AU128" i="1"/>
  <c r="AT128" i="1"/>
  <c r="Y127" i="1"/>
  <c r="X127" i="1"/>
  <c r="AX127" i="1"/>
  <c r="AW127" i="1"/>
  <c r="AV127" i="1"/>
  <c r="AU127" i="1"/>
  <c r="AT127" i="1"/>
  <c r="Y126" i="1"/>
  <c r="X126" i="1"/>
  <c r="AX126" i="1"/>
  <c r="AW126" i="1"/>
  <c r="AV126" i="1"/>
  <c r="AU126" i="1"/>
  <c r="AT126" i="1"/>
  <c r="Y125" i="1"/>
  <c r="X125" i="1"/>
  <c r="AX125" i="1"/>
  <c r="AW125" i="1"/>
  <c r="AV125" i="1"/>
  <c r="AU125" i="1"/>
  <c r="AT125" i="1"/>
  <c r="Y124" i="1"/>
  <c r="X124" i="1"/>
  <c r="AX124" i="1"/>
  <c r="AW124" i="1"/>
  <c r="AV124" i="1"/>
  <c r="AU124" i="1"/>
  <c r="AT124" i="1"/>
  <c r="Y123" i="1"/>
  <c r="X123" i="1"/>
  <c r="AX123" i="1"/>
  <c r="AW123" i="1"/>
  <c r="AV123" i="1"/>
  <c r="AU123" i="1"/>
  <c r="AT123" i="1"/>
  <c r="Y122" i="1"/>
  <c r="X122" i="1"/>
  <c r="AX122" i="1"/>
  <c r="AW122" i="1"/>
  <c r="AV122" i="1"/>
  <c r="AU122" i="1"/>
  <c r="AT122" i="1"/>
  <c r="Y121" i="1"/>
  <c r="X121" i="1"/>
  <c r="AX121" i="1"/>
  <c r="AW121" i="1"/>
  <c r="AV121" i="1"/>
  <c r="AU121" i="1"/>
  <c r="AT121" i="1"/>
  <c r="Y120" i="1"/>
  <c r="X120" i="1"/>
  <c r="AX120" i="1"/>
  <c r="AW120" i="1"/>
  <c r="AV120" i="1"/>
  <c r="AU120" i="1"/>
  <c r="AT120" i="1"/>
  <c r="Y119" i="1"/>
  <c r="X119" i="1"/>
  <c r="AX119" i="1"/>
  <c r="AW119" i="1"/>
  <c r="AV119" i="1"/>
  <c r="AU119" i="1"/>
  <c r="AT119" i="1"/>
  <c r="Y118" i="1"/>
  <c r="X118" i="1"/>
  <c r="AX118" i="1"/>
  <c r="AW118" i="1"/>
  <c r="AV118" i="1"/>
  <c r="AU118" i="1"/>
  <c r="AT118" i="1"/>
  <c r="Y117" i="1"/>
  <c r="X117" i="1"/>
  <c r="AX117" i="1"/>
  <c r="AW117" i="1"/>
  <c r="AV117" i="1"/>
  <c r="AU117" i="1"/>
  <c r="AT117" i="1"/>
  <c r="Y116" i="1"/>
  <c r="X116" i="1"/>
  <c r="AX116" i="1"/>
  <c r="AW116" i="1"/>
  <c r="AV116" i="1"/>
  <c r="AU116" i="1"/>
  <c r="AT116" i="1"/>
  <c r="Y115" i="1"/>
  <c r="X115" i="1"/>
  <c r="AX115" i="1"/>
  <c r="AW115" i="1"/>
  <c r="AV115" i="1"/>
  <c r="AU115" i="1"/>
  <c r="AT115" i="1"/>
  <c r="Y114" i="1"/>
  <c r="X114" i="1"/>
  <c r="AX114" i="1"/>
  <c r="AW114" i="1"/>
  <c r="AV114" i="1"/>
  <c r="AU114" i="1"/>
  <c r="AT114" i="1"/>
  <c r="Y113" i="1"/>
  <c r="X113" i="1"/>
  <c r="AX113" i="1"/>
  <c r="AW113" i="1"/>
  <c r="AV113" i="1"/>
  <c r="AU113" i="1"/>
  <c r="AT113" i="1"/>
  <c r="Y112" i="1"/>
  <c r="X112" i="1"/>
  <c r="AX112" i="1"/>
  <c r="AW112" i="1"/>
  <c r="AV112" i="1"/>
  <c r="AU112" i="1"/>
  <c r="AT112" i="1"/>
  <c r="Y111" i="1"/>
  <c r="X111" i="1"/>
  <c r="AX111" i="1"/>
  <c r="AW111" i="1"/>
  <c r="AV111" i="1"/>
  <c r="AU111" i="1"/>
  <c r="AT111" i="1"/>
  <c r="Y110" i="1"/>
  <c r="X110" i="1"/>
  <c r="AX110" i="1"/>
  <c r="AW110" i="1"/>
  <c r="AV110" i="1"/>
  <c r="AU110" i="1"/>
  <c r="AT110" i="1"/>
  <c r="Y109" i="1"/>
  <c r="X109" i="1"/>
  <c r="AX109" i="1"/>
  <c r="AW109" i="1"/>
  <c r="AV109" i="1"/>
  <c r="AU109" i="1"/>
  <c r="AT109" i="1"/>
  <c r="Y108" i="1"/>
  <c r="X108" i="1"/>
  <c r="AX108" i="1"/>
  <c r="AW108" i="1"/>
  <c r="AV108" i="1"/>
  <c r="AU108" i="1"/>
  <c r="AT108" i="1"/>
  <c r="Y107" i="1"/>
  <c r="X107" i="1"/>
  <c r="AX107" i="1"/>
  <c r="AW107" i="1"/>
  <c r="AV107" i="1"/>
  <c r="AU107" i="1"/>
  <c r="AT107" i="1"/>
  <c r="Y106" i="1"/>
  <c r="X106" i="1"/>
  <c r="AX106" i="1"/>
  <c r="AW106" i="1"/>
  <c r="AV106" i="1"/>
  <c r="AU106" i="1"/>
  <c r="AT106" i="1"/>
  <c r="Y105" i="1"/>
  <c r="X105" i="1"/>
  <c r="AX105" i="1"/>
  <c r="AW105" i="1"/>
  <c r="AV105" i="1"/>
  <c r="AU105" i="1"/>
  <c r="AT105" i="1"/>
  <c r="Y104" i="1"/>
  <c r="X104" i="1"/>
  <c r="AX104" i="1"/>
  <c r="AW104" i="1"/>
  <c r="AV104" i="1"/>
  <c r="AU104" i="1"/>
  <c r="AT104" i="1"/>
  <c r="Y103" i="1"/>
  <c r="X103" i="1"/>
  <c r="AX103" i="1"/>
  <c r="AW103" i="1"/>
  <c r="AV103" i="1"/>
  <c r="AU103" i="1"/>
  <c r="AT103" i="1"/>
  <c r="Y102" i="1"/>
  <c r="X102" i="1"/>
  <c r="AX102" i="1"/>
  <c r="AW102" i="1"/>
  <c r="AV102" i="1"/>
  <c r="AU102" i="1"/>
  <c r="AT102" i="1"/>
  <c r="Y101" i="1"/>
  <c r="X101" i="1"/>
  <c r="AX101" i="1"/>
  <c r="AW101" i="1"/>
  <c r="AV101" i="1"/>
  <c r="AU101" i="1"/>
  <c r="AT101" i="1"/>
  <c r="Y100" i="1"/>
  <c r="X100" i="1"/>
  <c r="AX100" i="1"/>
  <c r="AW100" i="1"/>
  <c r="AV100" i="1"/>
  <c r="AU100" i="1"/>
  <c r="AT100" i="1"/>
  <c r="Y99" i="1"/>
  <c r="X99" i="1"/>
  <c r="AX99" i="1"/>
  <c r="AW99" i="1"/>
  <c r="AV99" i="1"/>
  <c r="AU99" i="1"/>
  <c r="AT99" i="1"/>
  <c r="Y98" i="1"/>
  <c r="X98" i="1"/>
  <c r="AX98" i="1"/>
  <c r="AW98" i="1"/>
  <c r="AV98" i="1"/>
  <c r="AU98" i="1"/>
  <c r="AT98" i="1"/>
  <c r="Y97" i="1"/>
  <c r="X97" i="1"/>
  <c r="AX97" i="1"/>
  <c r="AW97" i="1"/>
  <c r="AV97" i="1"/>
  <c r="AU97" i="1"/>
  <c r="AT97" i="1"/>
  <c r="Y96" i="1"/>
  <c r="X96" i="1"/>
  <c r="AX96" i="1"/>
  <c r="AW96" i="1"/>
  <c r="AV96" i="1"/>
  <c r="AU96" i="1"/>
  <c r="AT96" i="1"/>
  <c r="Y95" i="1"/>
  <c r="X95" i="1"/>
  <c r="AX95" i="1"/>
  <c r="AW95" i="1"/>
  <c r="AV95" i="1"/>
  <c r="AU95" i="1"/>
  <c r="AT95" i="1"/>
  <c r="Y94" i="1"/>
  <c r="X94" i="1"/>
  <c r="AX94" i="1"/>
  <c r="AW94" i="1"/>
  <c r="AV94" i="1"/>
  <c r="AU94" i="1"/>
  <c r="AT94" i="1"/>
  <c r="Y93" i="1"/>
  <c r="X93" i="1"/>
  <c r="AX93" i="1"/>
  <c r="AW93" i="1"/>
  <c r="AV93" i="1"/>
  <c r="AU93" i="1"/>
  <c r="AT93" i="1"/>
  <c r="Y92" i="1"/>
  <c r="X92" i="1"/>
  <c r="AX92" i="1"/>
  <c r="AW92" i="1"/>
  <c r="AV92" i="1"/>
  <c r="AU92" i="1"/>
  <c r="AT92" i="1"/>
  <c r="Y91" i="1"/>
  <c r="X91" i="1"/>
  <c r="AX91" i="1"/>
  <c r="AW91" i="1"/>
  <c r="AV91" i="1"/>
  <c r="AU91" i="1"/>
  <c r="AT91" i="1"/>
  <c r="Y90" i="1"/>
  <c r="X90" i="1"/>
  <c r="AX90" i="1"/>
  <c r="AW90" i="1"/>
  <c r="AV90" i="1"/>
  <c r="AU90" i="1"/>
  <c r="AT90" i="1"/>
  <c r="Y89" i="1"/>
  <c r="X89" i="1"/>
  <c r="AX89" i="1"/>
  <c r="T8" i="1" s="1"/>
  <c r="AW89" i="1"/>
  <c r="AV89" i="1"/>
  <c r="AU89" i="1"/>
  <c r="AT89" i="1"/>
  <c r="Y88" i="1"/>
  <c r="X88" i="1"/>
  <c r="AX88" i="1"/>
  <c r="AW88" i="1"/>
  <c r="AV88" i="1"/>
  <c r="AU88" i="1"/>
  <c r="AT88" i="1"/>
  <c r="Y87" i="1"/>
  <c r="X87" i="1"/>
  <c r="AX87" i="1"/>
  <c r="AW87" i="1"/>
  <c r="AV87" i="1"/>
  <c r="AU87" i="1"/>
  <c r="AT87" i="1"/>
  <c r="Y86" i="1"/>
  <c r="X86" i="1"/>
  <c r="AX86" i="1"/>
  <c r="AW86" i="1"/>
  <c r="AV86" i="1"/>
  <c r="AU86" i="1"/>
  <c r="AT86" i="1"/>
  <c r="Y85" i="1"/>
  <c r="X85" i="1"/>
  <c r="AX85" i="1"/>
  <c r="AW85" i="1"/>
  <c r="AV85" i="1"/>
  <c r="AU85" i="1"/>
  <c r="AT85" i="1"/>
  <c r="Y84" i="1"/>
  <c r="X84" i="1"/>
  <c r="AX84" i="1"/>
  <c r="AW84" i="1"/>
  <c r="AV84" i="1"/>
  <c r="AU84" i="1"/>
  <c r="AT84" i="1"/>
  <c r="Y83" i="1"/>
  <c r="X83" i="1"/>
  <c r="AX83" i="1"/>
  <c r="AW83" i="1"/>
  <c r="AV83" i="1"/>
  <c r="AU83" i="1"/>
  <c r="AT83" i="1"/>
  <c r="Y82" i="1"/>
  <c r="X82" i="1"/>
  <c r="AX82" i="1"/>
  <c r="AW82" i="1"/>
  <c r="AV82" i="1"/>
  <c r="AU82" i="1"/>
  <c r="AT82" i="1"/>
  <c r="Y81" i="1"/>
  <c r="X81" i="1"/>
  <c r="AX81" i="1"/>
  <c r="AW81" i="1"/>
  <c r="AV81" i="1"/>
  <c r="AU81" i="1"/>
  <c r="AT81" i="1"/>
  <c r="Y80" i="1"/>
  <c r="X80" i="1"/>
  <c r="AX80" i="1"/>
  <c r="AW80" i="1"/>
  <c r="AV80" i="1"/>
  <c r="AU80" i="1"/>
  <c r="AT80" i="1"/>
  <c r="Y79" i="1"/>
  <c r="X79" i="1"/>
  <c r="AX79" i="1"/>
  <c r="AW79" i="1"/>
  <c r="AV79" i="1"/>
  <c r="AU79" i="1"/>
  <c r="AT79" i="1"/>
  <c r="Y78" i="1"/>
  <c r="X78" i="1"/>
  <c r="AX78" i="1"/>
  <c r="AW78" i="1"/>
  <c r="AV78" i="1"/>
  <c r="AU78" i="1"/>
  <c r="AT78" i="1"/>
  <c r="Y77" i="1"/>
  <c r="X77" i="1"/>
  <c r="AX77" i="1"/>
  <c r="AW77" i="1"/>
  <c r="AV77" i="1"/>
  <c r="AU77" i="1"/>
  <c r="AT77" i="1"/>
  <c r="Y76" i="1"/>
  <c r="X76" i="1"/>
  <c r="AX76" i="1"/>
  <c r="AW76" i="1"/>
  <c r="AV76" i="1"/>
  <c r="AU76" i="1"/>
  <c r="AT76" i="1"/>
  <c r="Y75" i="1"/>
  <c r="X75" i="1"/>
  <c r="AX75" i="1"/>
  <c r="AW75" i="1"/>
  <c r="AV75" i="1"/>
  <c r="AU75" i="1"/>
  <c r="AT75" i="1"/>
  <c r="Y74" i="1"/>
  <c r="X74" i="1"/>
  <c r="AX74" i="1"/>
  <c r="AW74" i="1"/>
  <c r="AV74" i="1"/>
  <c r="AU74" i="1"/>
  <c r="AT74" i="1"/>
  <c r="Y73" i="1"/>
  <c r="X73" i="1"/>
  <c r="AX73" i="1"/>
  <c r="AW73" i="1"/>
  <c r="AV73" i="1"/>
  <c r="AU73" i="1"/>
  <c r="AT73" i="1"/>
  <c r="Y72" i="1"/>
  <c r="X72" i="1"/>
  <c r="AX72" i="1"/>
  <c r="AW72" i="1"/>
  <c r="AV72" i="1"/>
  <c r="AU72" i="1"/>
  <c r="AT72" i="1"/>
  <c r="Y71" i="1"/>
  <c r="X71" i="1"/>
  <c r="AX71" i="1"/>
  <c r="AW71" i="1"/>
  <c r="AV71" i="1"/>
  <c r="AU71" i="1"/>
  <c r="AT71" i="1"/>
  <c r="Y70" i="1"/>
  <c r="X70" i="1"/>
  <c r="AX70" i="1"/>
  <c r="AW70" i="1"/>
  <c r="AV70" i="1"/>
  <c r="AU70" i="1"/>
  <c r="AT70" i="1"/>
  <c r="Y69" i="1"/>
  <c r="X69" i="1"/>
  <c r="AX69" i="1"/>
  <c r="AW69" i="1"/>
  <c r="AV69" i="1"/>
  <c r="AU69" i="1"/>
  <c r="AT69" i="1"/>
  <c r="Y68" i="1"/>
  <c r="X68" i="1"/>
  <c r="AX68" i="1"/>
  <c r="AW68" i="1"/>
  <c r="AV68" i="1"/>
  <c r="AU68" i="1"/>
  <c r="AT68" i="1"/>
  <c r="Y67" i="1"/>
  <c r="X67" i="1"/>
  <c r="AX67" i="1"/>
  <c r="AW67" i="1"/>
  <c r="AV67" i="1"/>
  <c r="AU67" i="1"/>
  <c r="AT67" i="1"/>
  <c r="Y66" i="1"/>
  <c r="X66" i="1"/>
  <c r="AX66" i="1"/>
  <c r="AW66" i="1"/>
  <c r="AV66" i="1"/>
  <c r="AU66" i="1"/>
  <c r="AT66" i="1"/>
  <c r="Y65" i="1"/>
  <c r="X65" i="1"/>
  <c r="AX65" i="1"/>
  <c r="AW65" i="1"/>
  <c r="AV65" i="1"/>
  <c r="AU65" i="1"/>
  <c r="AT65" i="1"/>
  <c r="Y64" i="1"/>
  <c r="X64" i="1"/>
  <c r="AX64" i="1"/>
  <c r="AW64" i="1"/>
  <c r="AV64" i="1"/>
  <c r="AU64" i="1"/>
  <c r="AT64" i="1"/>
  <c r="Y63" i="1"/>
  <c r="X63" i="1"/>
  <c r="AX63" i="1"/>
  <c r="AW63" i="1"/>
  <c r="AV63" i="1"/>
  <c r="AU63" i="1"/>
  <c r="AT63" i="1"/>
  <c r="Y62" i="1"/>
  <c r="X62" i="1"/>
  <c r="AX62" i="1"/>
  <c r="AW62" i="1"/>
  <c r="AV62" i="1"/>
  <c r="AU62" i="1"/>
  <c r="AT62" i="1"/>
  <c r="Y61" i="1"/>
  <c r="X61" i="1"/>
  <c r="AX61" i="1"/>
  <c r="AW61" i="1"/>
  <c r="AV61" i="1"/>
  <c r="AU61" i="1"/>
  <c r="AT61" i="1"/>
  <c r="A2" i="1"/>
  <c r="Y59" i="1"/>
  <c r="X59" i="1"/>
  <c r="AX59" i="1"/>
  <c r="AW59" i="1"/>
  <c r="AV59" i="1"/>
  <c r="AU59" i="1"/>
  <c r="AT59" i="1"/>
  <c r="Y58" i="1"/>
  <c r="X58" i="1"/>
  <c r="AX58" i="1"/>
  <c r="AW58" i="1"/>
  <c r="AV58" i="1"/>
  <c r="AU58" i="1"/>
  <c r="AT58" i="1"/>
  <c r="Y57" i="1"/>
  <c r="X57" i="1"/>
  <c r="AX57" i="1"/>
  <c r="AW57" i="1"/>
  <c r="AV57" i="1"/>
  <c r="AU57" i="1"/>
  <c r="AT57" i="1"/>
  <c r="Y56" i="1"/>
  <c r="X56" i="1"/>
  <c r="AX56" i="1"/>
  <c r="AW56" i="1"/>
  <c r="AV56" i="1"/>
  <c r="AU56" i="1"/>
  <c r="AT56" i="1"/>
  <c r="Y55" i="1"/>
  <c r="X55" i="1"/>
  <c r="AX55" i="1"/>
  <c r="AW55" i="1"/>
  <c r="AV55" i="1"/>
  <c r="AU55" i="1"/>
  <c r="AT55" i="1"/>
  <c r="Y54" i="1"/>
  <c r="X54" i="1"/>
  <c r="AX54" i="1"/>
  <c r="AW54" i="1"/>
  <c r="AV54" i="1"/>
  <c r="AU54" i="1"/>
  <c r="AT54" i="1"/>
  <c r="Y53" i="1"/>
  <c r="X53" i="1"/>
  <c r="AX53" i="1"/>
  <c r="AW53" i="1"/>
  <c r="AV53" i="1"/>
  <c r="AU53" i="1"/>
  <c r="AT53" i="1"/>
  <c r="Y52" i="1"/>
  <c r="X52" i="1"/>
  <c r="AX52" i="1"/>
  <c r="AW52" i="1"/>
  <c r="AV52" i="1"/>
  <c r="AU52" i="1"/>
  <c r="AT52" i="1"/>
  <c r="Y51" i="1"/>
  <c r="X51" i="1"/>
  <c r="AX51" i="1"/>
  <c r="AW51" i="1"/>
  <c r="AV51" i="1"/>
  <c r="AU51" i="1"/>
  <c r="AT51" i="1"/>
  <c r="Y50" i="1"/>
  <c r="X50" i="1"/>
  <c r="AX50" i="1"/>
  <c r="AW50" i="1"/>
  <c r="AV50" i="1"/>
  <c r="AU50" i="1"/>
  <c r="AT50" i="1"/>
  <c r="Y49" i="1"/>
  <c r="X49" i="1"/>
  <c r="AX49" i="1"/>
  <c r="AW49" i="1"/>
  <c r="AV49" i="1"/>
  <c r="AU49" i="1"/>
  <c r="AT49" i="1"/>
  <c r="Y48" i="1"/>
  <c r="X48" i="1"/>
  <c r="AX48" i="1"/>
  <c r="AW48" i="1"/>
  <c r="AV48" i="1"/>
  <c r="AU48" i="1"/>
  <c r="AT48" i="1"/>
  <c r="Y47" i="1"/>
  <c r="X47" i="1"/>
  <c r="AX47" i="1"/>
  <c r="AW47" i="1"/>
  <c r="AV47" i="1"/>
  <c r="AU47" i="1"/>
  <c r="AT47" i="1"/>
  <c r="Y46" i="1"/>
  <c r="X46" i="1"/>
  <c r="AX46" i="1"/>
  <c r="AW46" i="1"/>
  <c r="AV46" i="1"/>
  <c r="AU46" i="1"/>
  <c r="AT46" i="1"/>
  <c r="Y45" i="1"/>
  <c r="X45" i="1"/>
  <c r="AX45" i="1"/>
  <c r="AW45" i="1"/>
  <c r="AV45" i="1"/>
  <c r="AU45" i="1"/>
  <c r="AT45" i="1"/>
  <c r="Y44" i="1"/>
  <c r="X44" i="1"/>
  <c r="AX44" i="1"/>
  <c r="AW44" i="1"/>
  <c r="AV44" i="1"/>
  <c r="AU44" i="1"/>
  <c r="AT44" i="1"/>
  <c r="Y43" i="1"/>
  <c r="X43" i="1"/>
  <c r="AX43" i="1"/>
  <c r="AW43" i="1"/>
  <c r="AV43" i="1"/>
  <c r="AU43" i="1"/>
  <c r="AT43" i="1"/>
  <c r="Y42" i="1"/>
  <c r="X42" i="1"/>
  <c r="AX42" i="1"/>
  <c r="AW42" i="1"/>
  <c r="AV42" i="1"/>
  <c r="AU42" i="1"/>
  <c r="AT42" i="1"/>
  <c r="Y41" i="1"/>
  <c r="X41" i="1"/>
  <c r="AX41" i="1"/>
  <c r="AW41" i="1"/>
  <c r="AV41" i="1"/>
  <c r="AU41" i="1"/>
  <c r="AT41" i="1"/>
  <c r="Y40" i="1"/>
  <c r="X40" i="1"/>
  <c r="AX40" i="1"/>
  <c r="AW40" i="1"/>
  <c r="AV40" i="1"/>
  <c r="AU40" i="1"/>
  <c r="AT40" i="1"/>
  <c r="Y39" i="1"/>
  <c r="X39" i="1"/>
  <c r="AX39" i="1"/>
  <c r="AW39" i="1"/>
  <c r="AV39" i="1"/>
  <c r="AU39" i="1"/>
  <c r="AT39" i="1"/>
  <c r="Y38" i="1"/>
  <c r="X38" i="1"/>
  <c r="AX38" i="1"/>
  <c r="AW38" i="1"/>
  <c r="AV38" i="1"/>
  <c r="AU38" i="1"/>
  <c r="AT38" i="1"/>
  <c r="Y37" i="1"/>
  <c r="X37" i="1"/>
  <c r="AX37" i="1"/>
  <c r="AW37" i="1"/>
  <c r="AV37" i="1"/>
  <c r="AU37" i="1"/>
  <c r="AT37" i="1"/>
  <c r="Y36" i="1"/>
  <c r="X36" i="1"/>
  <c r="AX36" i="1"/>
  <c r="AW36" i="1"/>
  <c r="AV36" i="1"/>
  <c r="AU36" i="1"/>
  <c r="AT36" i="1"/>
  <c r="Y35" i="1"/>
  <c r="X35" i="1"/>
  <c r="AX35" i="1"/>
  <c r="AW35" i="1"/>
  <c r="AV35" i="1"/>
  <c r="AU35" i="1"/>
  <c r="AT35" i="1"/>
  <c r="Y34" i="1"/>
  <c r="X34" i="1"/>
  <c r="AX34" i="1"/>
  <c r="AW34" i="1"/>
  <c r="AV34" i="1"/>
  <c r="AU34" i="1"/>
  <c r="AT34" i="1"/>
  <c r="Y33" i="1"/>
  <c r="X33" i="1"/>
  <c r="AX33" i="1"/>
  <c r="AW33" i="1"/>
  <c r="AV33" i="1"/>
  <c r="AU33" i="1"/>
  <c r="AT33" i="1"/>
  <c r="Y32" i="1"/>
  <c r="X32" i="1"/>
  <c r="AX32" i="1"/>
  <c r="AW32" i="1"/>
  <c r="AV32" i="1"/>
  <c r="AU32" i="1"/>
  <c r="AT32" i="1"/>
  <c r="Y31" i="1"/>
  <c r="X31" i="1"/>
  <c r="AX31" i="1"/>
  <c r="AW31" i="1"/>
  <c r="AV31" i="1"/>
  <c r="AU31" i="1"/>
  <c r="AT31" i="1"/>
  <c r="Y30" i="1"/>
  <c r="X30" i="1"/>
  <c r="AX30" i="1"/>
  <c r="AW30" i="1"/>
  <c r="AV30" i="1"/>
  <c r="AU30" i="1"/>
  <c r="AT30" i="1"/>
  <c r="Y29" i="1"/>
  <c r="X29" i="1"/>
  <c r="AX29" i="1"/>
  <c r="AW29" i="1"/>
  <c r="AV29" i="1"/>
  <c r="AU29" i="1"/>
  <c r="AT29" i="1"/>
  <c r="Y28" i="1"/>
  <c r="X28" i="1"/>
  <c r="AX28" i="1"/>
  <c r="AW28" i="1"/>
  <c r="AV28" i="1"/>
  <c r="AU28" i="1"/>
  <c r="AT28" i="1"/>
  <c r="Y27" i="1"/>
  <c r="X27" i="1"/>
  <c r="AX27" i="1"/>
  <c r="AW27" i="1"/>
  <c r="AV27" i="1"/>
  <c r="AU27" i="1"/>
  <c r="AT27" i="1"/>
  <c r="Y26" i="1"/>
  <c r="X26" i="1"/>
  <c r="AX26" i="1"/>
  <c r="AW26" i="1"/>
  <c r="AV26" i="1"/>
  <c r="AU26" i="1"/>
  <c r="AT26" i="1"/>
  <c r="Y25" i="1"/>
  <c r="X25" i="1"/>
  <c r="AX25" i="1"/>
  <c r="AW25" i="1"/>
  <c r="AV25" i="1"/>
  <c r="AU25" i="1"/>
  <c r="AT25" i="1"/>
  <c r="Y24" i="1"/>
  <c r="X24" i="1"/>
  <c r="AX24" i="1"/>
  <c r="AW24" i="1"/>
  <c r="AV24" i="1"/>
  <c r="AU24" i="1"/>
  <c r="AT24" i="1"/>
  <c r="Y23" i="1"/>
  <c r="X23" i="1"/>
  <c r="AX23" i="1"/>
  <c r="AW23" i="1"/>
  <c r="AV23" i="1"/>
  <c r="AU23" i="1"/>
  <c r="AT23" i="1"/>
  <c r="Y22" i="1"/>
  <c r="X22" i="1"/>
  <c r="AX22" i="1"/>
  <c r="AW22" i="1"/>
  <c r="AV22" i="1"/>
  <c r="AU22" i="1"/>
  <c r="AT22" i="1"/>
  <c r="Y21" i="1"/>
  <c r="X21" i="1"/>
  <c r="AX21" i="1"/>
  <c r="AW21" i="1"/>
  <c r="AV21" i="1"/>
  <c r="AU21" i="1"/>
  <c r="AT21" i="1"/>
  <c r="Y20" i="1"/>
  <c r="X20" i="1"/>
  <c r="AX20" i="1"/>
  <c r="AW20" i="1"/>
  <c r="AV20" i="1"/>
  <c r="AU20" i="1"/>
  <c r="AT20" i="1"/>
  <c r="A1" i="1"/>
  <c r="T6" i="1"/>
  <c r="T5" i="1" l="1"/>
  <c r="T9" i="1"/>
  <c r="T4" i="1"/>
  <c r="T7" i="1"/>
</calcChain>
</file>

<file path=xl/sharedStrings.xml><?xml version="1.0" encoding="utf-8"?>
<sst xmlns="http://schemas.openxmlformats.org/spreadsheetml/2006/main" count="23332" uniqueCount="8694">
  <si>
    <t>02.04.2025</t>
  </si>
  <si>
    <t>Заказ</t>
  </si>
  <si>
    <t>ВСЕГО</t>
  </si>
  <si>
    <t>заказ, руб</t>
  </si>
  <si>
    <t>Наименований</t>
  </si>
  <si>
    <t>Штук</t>
  </si>
  <si>
    <t>Пачек</t>
  </si>
  <si>
    <t>Штук всего (пачки + россыпь)</t>
  </si>
  <si>
    <t>Общий вес, кг</t>
  </si>
  <si>
    <t>Прайс-лист.  Издательская группа "Альпина"</t>
  </si>
  <si>
    <t>заказ</t>
  </si>
  <si>
    <t>Издат. цена, руб. вкл. НДС</t>
  </si>
  <si>
    <t>Реком. розн. цена Онлайн</t>
  </si>
  <si>
    <t>ID</t>
  </si>
  <si>
    <t>Автор(ы)</t>
  </si>
  <si>
    <t>Наименование</t>
  </si>
  <si>
    <t>Издательство</t>
  </si>
  <si>
    <t>Перевод</t>
  </si>
  <si>
    <t>Год изд.</t>
  </si>
  <si>
    <t>Артикул</t>
  </si>
  <si>
    <t>EAN</t>
  </si>
  <si>
    <t>ISBN</t>
  </si>
  <si>
    <t>Стр.</t>
  </si>
  <si>
    <t>Вес</t>
  </si>
  <si>
    <t>Ширина</t>
  </si>
  <si>
    <t>Высота</t>
  </si>
  <si>
    <t>Ст.</t>
  </si>
  <si>
    <t>Формат</t>
  </si>
  <si>
    <t>Серия</t>
  </si>
  <si>
    <t>Тираж</t>
  </si>
  <si>
    <t>Особенности исполнения</t>
  </si>
  <si>
    <t>Ограничение по возрасту</t>
  </si>
  <si>
    <t>НДС</t>
  </si>
  <si>
    <t>Ссылка 
на книгу</t>
  </si>
  <si>
    <t>Сертификат</t>
  </si>
  <si>
    <t>Дата последнего поступления</t>
  </si>
  <si>
    <t>НОВИНКИ Апрель 2025</t>
  </si>
  <si>
    <t>Ле Гуин Урсула</t>
  </si>
  <si>
    <t>[обложка] Лавиния</t>
  </si>
  <si>
    <t>Альпина. Проза</t>
  </si>
  <si>
    <t>Пер. с англ</t>
  </si>
  <si>
    <t>NNP2412217-P</t>
  </si>
  <si>
    <t>978-5-00223-545-2</t>
  </si>
  <si>
    <t>60x90/16</t>
  </si>
  <si>
    <t>Обложка</t>
  </si>
  <si>
    <t>16+</t>
  </si>
  <si>
    <t>25.02.2025</t>
  </si>
  <si>
    <t>Торебаева Мадия</t>
  </si>
  <si>
    <t>[не продавать в РК] Беласагун. Тайна золотого амулета</t>
  </si>
  <si>
    <t>Zerde Publishing</t>
  </si>
  <si>
    <t>ZGZ2412049-P</t>
  </si>
  <si>
    <t>978-601-82230-0-6</t>
  </si>
  <si>
    <t>Переплет</t>
  </si>
  <si>
    <t>10.03.2025</t>
  </si>
  <si>
    <t>Зиганшин Марсель</t>
  </si>
  <si>
    <t>Бизнес в стиле "Макдоналдс": Как превратить вашу компанию в стабильно работающий механизм</t>
  </si>
  <si>
    <t>Альпина Паблишер</t>
  </si>
  <si>
    <t>AAA2404167-P</t>
  </si>
  <si>
    <t>978-5-9614-9794-6</t>
  </si>
  <si>
    <t>12+</t>
  </si>
  <si>
    <t>Хакамада Ирина</t>
  </si>
  <si>
    <t>В предвкушении себя: От имиджа к стилю</t>
  </si>
  <si>
    <t>AAA2502329-P</t>
  </si>
  <si>
    <t>978-5-0063-0613-4</t>
  </si>
  <si>
    <t>0+</t>
  </si>
  <si>
    <t>20.03.2025</t>
  </si>
  <si>
    <t>Фишер Татьяна</t>
  </si>
  <si>
    <t>В тебе есть всё: Тетрадь для самопознания</t>
  </si>
  <si>
    <t>AAA2412192-P</t>
  </si>
  <si>
    <t>978-5-0063-0387-4</t>
  </si>
  <si>
    <t>17.03.2025</t>
  </si>
  <si>
    <t>Керре Наталья</t>
  </si>
  <si>
    <t>[покет-серия] Вернуть вкус к жизни: Что делать, когда вроде все хорошо, но счастья и радости мало</t>
  </si>
  <si>
    <t>AAA2409206-P</t>
  </si>
  <si>
    <t>978-5-0063-0172-6</t>
  </si>
  <si>
    <t>70x100/32</t>
  </si>
  <si>
    <t>Альпина: психология и философия</t>
  </si>
  <si>
    <t>03.03.2025</t>
  </si>
  <si>
    <t>Град Лиля</t>
  </si>
  <si>
    <t>Год одиноких: Как перестать бояться быть без других</t>
  </si>
  <si>
    <t>AAA2406160-P</t>
  </si>
  <si>
    <t>978-5-9614-9968-1</t>
  </si>
  <si>
    <t>84x108/32</t>
  </si>
  <si>
    <t>22.03.2025</t>
  </si>
  <si>
    <t>Пильюччи Массимо</t>
  </si>
  <si>
    <t>[покет-серия] Жить хорошо: Модели личной философии от буддизма до светского гуманизма</t>
  </si>
  <si>
    <t>Альпина нон-фикшн</t>
  </si>
  <si>
    <t>NNN2410355-P</t>
  </si>
  <si>
    <t>978-5-91671-970-3</t>
  </si>
  <si>
    <t>18+</t>
  </si>
  <si>
    <t>Скоренко Тим</t>
  </si>
  <si>
    <t>Изобретено в СССР: История изобретательской мысли с 1917 по 1991 год</t>
  </si>
  <si>
    <t>NNN2501192-P</t>
  </si>
  <si>
    <t>978-5-00223-577-3</t>
  </si>
  <si>
    <t>70x100/16</t>
  </si>
  <si>
    <t>Воронин Михаил</t>
  </si>
  <si>
    <t>Исповедь (самозванца) предпринимателя: От маленького Миши к большому</t>
  </si>
  <si>
    <t>Альпина PRO</t>
  </si>
  <si>
    <t>PGR2408011-P</t>
  </si>
  <si>
    <t>978-5-206-00392-5</t>
  </si>
  <si>
    <t>70x90/16</t>
  </si>
  <si>
    <t>31.03.2025</t>
  </si>
  <si>
    <t>Инина Наталия</t>
  </si>
  <si>
    <t>Испытание детством: Встреча с прошлым во имя настоящего и будущего</t>
  </si>
  <si>
    <t>AAA2406162-P</t>
  </si>
  <si>
    <t>978-5-9614-9969-8</t>
  </si>
  <si>
    <t>Хоффман Дамона</t>
  </si>
  <si>
    <t>К чёрту сказки: Правда и мифы о поиске идеального партнера</t>
  </si>
  <si>
    <t>AAA2406057-P</t>
  </si>
  <si>
    <t>978-5-9614-9917-9</t>
  </si>
  <si>
    <t>Шмараков Роман</t>
  </si>
  <si>
    <t>Каллиопа, дерево, Кориск</t>
  </si>
  <si>
    <t>NNP2407232-P</t>
  </si>
  <si>
    <t>978-5-00223-441-7</t>
  </si>
  <si>
    <t>Элтанг Лена</t>
  </si>
  <si>
    <t>[обложка] Каменные клёны</t>
  </si>
  <si>
    <t>NNP2502008-P</t>
  </si>
  <si>
    <t>978-5-00223-581-0</t>
  </si>
  <si>
    <t>11.03.2025</t>
  </si>
  <si>
    <t>Шумахер Эшли</t>
  </si>
  <si>
    <t>Крылья на двоих</t>
  </si>
  <si>
    <t>Marshmallow Books</t>
  </si>
  <si>
    <t>ADW2404187-P</t>
  </si>
  <si>
    <t>978-5-9614-9800-4</t>
  </si>
  <si>
    <t>Зверева Нина</t>
  </si>
  <si>
    <t>Моя полосатая жизнь: Рассказы оголтелой оптимистки</t>
  </si>
  <si>
    <t>AAA2408069-P</t>
  </si>
  <si>
    <t>978-5-0063-0079-8</t>
  </si>
  <si>
    <t>Ронжина Маргарита</t>
  </si>
  <si>
    <t>Непокои</t>
  </si>
  <si>
    <t>NNP2407049-P</t>
  </si>
  <si>
    <t>978-5-00223-410-3</t>
  </si>
  <si>
    <t>25.03.2025</t>
  </si>
  <si>
    <t>Браунинг Кристофер</t>
  </si>
  <si>
    <t>Обычные люди: 101-й полицейский батальон и «окончательное решение еврейского вопроса»</t>
  </si>
  <si>
    <t>NNN2309030-P</t>
  </si>
  <si>
    <t>978-5-00223-135-5</t>
  </si>
  <si>
    <t>Кателла Стефани, Маккей Мэтью</t>
  </si>
  <si>
    <t>Останови свои эмоциональные качели: Осознаю, принимаю, управляю, переключаюсь</t>
  </si>
  <si>
    <t>AAA2407007-P</t>
  </si>
  <si>
    <t>978-5-9614-9987-2</t>
  </si>
  <si>
    <t>Дневник самотерапии</t>
  </si>
  <si>
    <t>18.03.2025</t>
  </si>
  <si>
    <t>Бакирова Наталья</t>
  </si>
  <si>
    <t>Остановка грачей по пути на юг</t>
  </si>
  <si>
    <t>NNP2411194-P</t>
  </si>
  <si>
    <t>978-5-00223-530-8</t>
  </si>
  <si>
    <t>Хилл Дайана</t>
  </si>
  <si>
    <t>Отпусти внутреннего критика: Отношусь к себе с добротой, пониманием и состраданием</t>
  </si>
  <si>
    <t>AAA2404223-P</t>
  </si>
  <si>
    <t>978-5-9614-9812-7</t>
  </si>
  <si>
    <t>21.03.2025</t>
  </si>
  <si>
    <t>Джонс Колин</t>
  </si>
  <si>
    <t>Падение Робеспьера: 24 часа в Париже времен Великой французской революции</t>
  </si>
  <si>
    <t>NNN2111250-P</t>
  </si>
  <si>
    <t>978-5-00223-299-4</t>
  </si>
  <si>
    <t>Макки Роберт</t>
  </si>
  <si>
    <t>[покет-серия] Персонаж: Искусство создания образа на экране, в книге и на сцене</t>
  </si>
  <si>
    <t>NNN2409197-P</t>
  </si>
  <si>
    <t>978-5-00223-484-4</t>
  </si>
  <si>
    <t>Сценарное и писательское мастерство</t>
  </si>
  <si>
    <t>Бучков Ральф</t>
  </si>
  <si>
    <t>Пожарный</t>
  </si>
  <si>
    <t>Альпина. Дети</t>
  </si>
  <si>
    <t>Пер. с нем.</t>
  </si>
  <si>
    <t>ADK2403126-P</t>
  </si>
  <si>
    <t>978-5-9614-9700-7</t>
  </si>
  <si>
    <t>60x90/8</t>
  </si>
  <si>
    <t>Знакомство с профессиями</t>
  </si>
  <si>
    <t>Абитбеков Айболат</t>
  </si>
  <si>
    <t>[не продавать в РК] Проще, чем кажется. Стратегии поступления в топовый зарубежный университет</t>
  </si>
  <si>
    <t>ZGZ2409142-P</t>
  </si>
  <si>
    <t>978-601-82155-4-4</t>
  </si>
  <si>
    <t>06.03.2025</t>
  </si>
  <si>
    <t>Бейл Энтони</t>
  </si>
  <si>
    <t>Путеводитель по Средневековью: Мир глазами ученых, шпионов, купцов и паломников</t>
  </si>
  <si>
    <t>NNN2109286-P</t>
  </si>
  <si>
    <t>978-5-00223-500-1</t>
  </si>
  <si>
    <t>Страдающее Средневековье</t>
  </si>
  <si>
    <t>Россохин Андрей</t>
  </si>
  <si>
    <t>Путешествие к подлинному Я: Практика психоанализа</t>
  </si>
  <si>
    <t>AAA2409058-P</t>
  </si>
  <si>
    <t>978-5-0063-0141-2</t>
  </si>
  <si>
    <t>Селигман Мартин</t>
  </si>
  <si>
    <t>Путь к процветанию: Новое понимание счастья и благополучия</t>
  </si>
  <si>
    <t>AAA2403215-P</t>
  </si>
  <si>
    <t>978-5-9614-9724-3</t>
  </si>
  <si>
    <t>Позитивная психология</t>
  </si>
  <si>
    <t>Найт Элайза, Брайс Денни С.</t>
  </si>
  <si>
    <t>Разве мы не можем быть подругами</t>
  </si>
  <si>
    <t>Belles Lettres</t>
  </si>
  <si>
    <t>ABB2404046-P</t>
  </si>
  <si>
    <t>978-5-9614-9760-1</t>
  </si>
  <si>
    <t>Главная героиня: романы-биографии</t>
  </si>
  <si>
    <t>30.03.2025</t>
  </si>
  <si>
    <t>Ребенок-оптимист: Как научить ребенка преодолевать трудности</t>
  </si>
  <si>
    <t>AAA2403176-P</t>
  </si>
  <si>
    <t>978-5-9614-9715-1</t>
  </si>
  <si>
    <t>Страусс Нира</t>
  </si>
  <si>
    <t>Сердце вне игры</t>
  </si>
  <si>
    <t>Пер. с исп.</t>
  </si>
  <si>
    <t>ADW2401096-P</t>
  </si>
  <si>
    <t>978-5-9614-9562-1</t>
  </si>
  <si>
    <t>Калинин Максим, Дзядко Филипп</t>
  </si>
  <si>
    <t>[переплет] Сирийские мистики о любви, страхе, гневе и радости</t>
  </si>
  <si>
    <t>AAA2411225-P</t>
  </si>
  <si>
    <t>978-5-0063-0353-9</t>
  </si>
  <si>
    <t>Леви Стивен</t>
  </si>
  <si>
    <t>Социальная сеть, изменившая мир: От стартапа до метавселенной</t>
  </si>
  <si>
    <t>AAA2502345-P</t>
  </si>
  <si>
    <t>978-5-0063-0601-1</t>
  </si>
  <si>
    <t>Натапов Станислав</t>
  </si>
  <si>
    <t>Социальный капитал: Ключ к личностному росту и процветающему бизнесу</t>
  </si>
  <si>
    <t>PGR2501005-P</t>
  </si>
  <si>
    <t>978-5-206-00463-2</t>
  </si>
  <si>
    <t>Тайны нашего бессознательного: Теория психоанализа</t>
  </si>
  <si>
    <t>AAA2207104-P</t>
  </si>
  <si>
    <t>978-5-9614-8227-0</t>
  </si>
  <si>
    <t>Эллен Том</t>
  </si>
  <si>
    <t>Такая смешная любовь</t>
  </si>
  <si>
    <t>ADW2408137-P</t>
  </si>
  <si>
    <t>978-5-0063-0103-0</t>
  </si>
  <si>
    <t>Сопикова Анастасия</t>
  </si>
  <si>
    <t>Тем легче</t>
  </si>
  <si>
    <t>NNP2407243-P</t>
  </si>
  <si>
    <t>978-5-00223-442-4</t>
  </si>
  <si>
    <t>Магамедова Камилла</t>
  </si>
  <si>
    <t>Тру-крайм свидания</t>
  </si>
  <si>
    <t>ADW2411042-P</t>
  </si>
  <si>
    <t>978-5-0063-0305-8</t>
  </si>
  <si>
    <t>Меркачёва Ева</t>
  </si>
  <si>
    <t>Чисто российское преступление: Самые громкие и загадочные уголовные дела XVIII – XX веков</t>
  </si>
  <si>
    <t>AAA2501044-P</t>
  </si>
  <si>
    <t>978-5-0063-0428-4</t>
  </si>
  <si>
    <t>Раттаро Сара</t>
  </si>
  <si>
    <t>Я — Мари Кюри</t>
  </si>
  <si>
    <t>Пер. с итал.</t>
  </si>
  <si>
    <t>ABB2407085-P</t>
  </si>
  <si>
    <t>978-5-0063-0007-1</t>
  </si>
  <si>
    <t>СНОВА В ПРОДАЖЕ Апрель 2025</t>
  </si>
  <si>
    <t>Асфари Зарина</t>
  </si>
  <si>
    <t xml:space="preserve"> Быть гением: Истории об искусстве, жизни, смерти, любви, сексе, деньгах и безумии</t>
  </si>
  <si>
    <t>AAA2501152-P</t>
  </si>
  <si>
    <t>978-5-9614-8920-0</t>
  </si>
  <si>
    <t>Дотлих Дэвид, Кейро Питер</t>
  </si>
  <si>
    <t>11 врагов руководителя: Модели поведения, которые могут разрушить карьеру и бизнес</t>
  </si>
  <si>
    <t>AAA2503044-P</t>
  </si>
  <si>
    <t>978-5-9614-6912-7</t>
  </si>
  <si>
    <t>Библиотека Экопси</t>
  </si>
  <si>
    <t>Круз Кевин</t>
  </si>
  <si>
    <t>[покет-серия] 15 секретов управления временем: Как успешные люди успевают все</t>
  </si>
  <si>
    <t>AAA2411139-P</t>
  </si>
  <si>
    <t>978-5-9614-2518-5</t>
  </si>
  <si>
    <t>Альпина. Саморазвитие</t>
  </si>
  <si>
    <t>Гильен Мауро</t>
  </si>
  <si>
    <t>2030: Как современные тренды влияют друг на друга и на наше будущее</t>
  </si>
  <si>
    <t>AAA2503049-P</t>
  </si>
  <si>
    <t>978-5-9614-7517-3</t>
  </si>
  <si>
    <t>Джонсон Вик</t>
  </si>
  <si>
    <t>[покет-серия] 52 понедельника: Как за год добиться любых целей</t>
  </si>
  <si>
    <t>AAA2412025-P</t>
  </si>
  <si>
    <t>978-5-9614-2133-0</t>
  </si>
  <si>
    <t>02.03.2025</t>
  </si>
  <si>
    <t>Спенст Доминик</t>
  </si>
  <si>
    <t>6 минут. Ежедневник, который изменит вашу жизнь (базальт)</t>
  </si>
  <si>
    <t>AAA2401135-P</t>
  </si>
  <si>
    <t>978-5-9614-3326-5</t>
  </si>
  <si>
    <t>Ежедневники "6 минут"</t>
  </si>
  <si>
    <t>Переплет + суперобложка</t>
  </si>
  <si>
    <t>6+</t>
  </si>
  <si>
    <t>6 минут. Ежедневник, который изменит вашу жизнь (пудра)</t>
  </si>
  <si>
    <t>AAA2401129-P</t>
  </si>
  <si>
    <t>978-5-9614-2130-9</t>
  </si>
  <si>
    <t>Халилов Дамир</t>
  </si>
  <si>
    <t>ChatGPT на каждый день: 333 промта для бизнеса и маркетинга</t>
  </si>
  <si>
    <t>AAA2412108-P</t>
  </si>
  <si>
    <t>978-5-9614-9782-3</t>
  </si>
  <si>
    <t>22.02.2025</t>
  </si>
  <si>
    <t>Мефферт Юрген , Кулагин Владимир , Сухаревски Александр</t>
  </si>
  <si>
    <t>Digital @ Scale : Настольная книга по цифровизации бизнеса</t>
  </si>
  <si>
    <t>PGR2503118-P</t>
  </si>
  <si>
    <t>978-5-6042320-7-1</t>
  </si>
  <si>
    <t>27.03.2025</t>
  </si>
  <si>
    <t>Нет автора</t>
  </si>
  <si>
    <t>Kakebo: Японская система ведения семейного бюджета (недатированный ежедневник)</t>
  </si>
  <si>
    <t>AAA2410305-P</t>
  </si>
  <si>
    <t>978-5-9614-3710-2</t>
  </si>
  <si>
    <t>Калиничев Сергей</t>
  </si>
  <si>
    <t>Адекватность. Как видеть суть происходящего, принимать хорошие решения и создавать результат без стресса</t>
  </si>
  <si>
    <t>PGR2501207-P</t>
  </si>
  <si>
    <t>978-5-206-00017-7</t>
  </si>
  <si>
    <t>Рэнд Айн</t>
  </si>
  <si>
    <t>[в 3-х книгах] Атлант расправил плечи</t>
  </si>
  <si>
    <t>AAP2411130-P</t>
  </si>
  <si>
    <t>978-5-9614-6742-0</t>
  </si>
  <si>
    <t>20.01.2025</t>
  </si>
  <si>
    <t>Дробышевский Станислав</t>
  </si>
  <si>
    <t>Байки из грота: 50 историй из жизни древних людей</t>
  </si>
  <si>
    <t>NNN2412074-P</t>
  </si>
  <si>
    <t>978-5-91671-918-5</t>
  </si>
  <si>
    <t>84x108/16</t>
  </si>
  <si>
    <t>Балерина</t>
  </si>
  <si>
    <t>ADH2412282-P</t>
  </si>
  <si>
    <t>978-5-9614-8406-9</t>
  </si>
  <si>
    <t>Безручко Павел</t>
  </si>
  <si>
    <t>[покет-серия] Без воды: Как писать предложения и отчеты для первых лиц</t>
  </si>
  <si>
    <t>AAA2411208-P</t>
  </si>
  <si>
    <t>978-5-9614-8910-1</t>
  </si>
  <si>
    <t>05.03.2025</t>
  </si>
  <si>
    <t>Миллер Дональд</t>
  </si>
  <si>
    <t>Бизнес на пальцах: Развитие навыков управления, продаж и маркетинга за 60 дней</t>
  </si>
  <si>
    <t>AAA2503048-P</t>
  </si>
  <si>
    <t>978-5-9614-7498-5</t>
  </si>
  <si>
    <t>Рис Эрик</t>
  </si>
  <si>
    <t>Бизнес с нуля: Метод Lean Startup для быстрого тестирования идей и выбора бизнес-модели</t>
  </si>
  <si>
    <t>AAA2412031-P</t>
  </si>
  <si>
    <t>978-5-9614-6837-3</t>
  </si>
  <si>
    <t>Сапольски Роберт</t>
  </si>
  <si>
    <t>Биология добра и зла. Как наука объясняет наши поступки</t>
  </si>
  <si>
    <t>NNN2410216-P</t>
  </si>
  <si>
    <t>978-5-00139-039-8</t>
  </si>
  <si>
    <t>13.01.2025</t>
  </si>
  <si>
    <t>Джефферс Сьюзен</t>
  </si>
  <si>
    <t>[покет-серия] Бойся... но действуй! Как превратить страх из врага в союзника</t>
  </si>
  <si>
    <t>AAA2403135-P</t>
  </si>
  <si>
    <t>978-5-9614-2682-3</t>
  </si>
  <si>
    <t>Семёнов Сергей</t>
  </si>
  <si>
    <t>Большие продажи без компромиссов и оправданий: Система эффективных продаж по телефону и на встречах</t>
  </si>
  <si>
    <t>AAA2503059-P</t>
  </si>
  <si>
    <t>978-5-9614-6561-7</t>
  </si>
  <si>
    <t>Шварценеггер Арнольд</t>
  </si>
  <si>
    <t>Будь нужным: Семь правил жизни</t>
  </si>
  <si>
    <t>AAA2410289-P</t>
  </si>
  <si>
    <t>978-5-9614-8763-3</t>
  </si>
  <si>
    <t>10.01.2025</t>
  </si>
  <si>
    <t>Райли Рэд</t>
  </si>
  <si>
    <t>Быть готовым ко всему: Приемы агентов МИ-6 для гражданских</t>
  </si>
  <si>
    <t>AAA2502304-P</t>
  </si>
  <si>
    <t>978-5-9614-8420-5</t>
  </si>
  <si>
    <t>Иванов Алексей Викторович</t>
  </si>
  <si>
    <t>Вегетация</t>
  </si>
  <si>
    <t>NNP2412083-P</t>
  </si>
  <si>
    <t>978-5-00223-453-0</t>
  </si>
  <si>
    <t>23.01.2025</t>
  </si>
  <si>
    <t>Ветеринар</t>
  </si>
  <si>
    <t>ADH2412283-P</t>
  </si>
  <si>
    <t>978-5-9614-5551-9</t>
  </si>
  <si>
    <t>Мэнн Сэнди</t>
  </si>
  <si>
    <t>[покет-серия] Взлом психологии: Все психологические теории в одной книге</t>
  </si>
  <si>
    <t>AAA2412193-P</t>
  </si>
  <si>
    <t>978-5-9614-8526-4</t>
  </si>
  <si>
    <t>Якутенко Ирина</t>
  </si>
  <si>
    <t>Вирус, который сломал планету: Почему SARS-CoV-2 такой особенный и что нам с ним делать</t>
  </si>
  <si>
    <t>NNN2502090-P</t>
  </si>
  <si>
    <t>978-5-00139-382-5</t>
  </si>
  <si>
    <t>Холмс Боб</t>
  </si>
  <si>
    <t>Вкус: Наука о самом малоизученном человеческом чувстве</t>
  </si>
  <si>
    <t>AAA2411142-P</t>
  </si>
  <si>
    <t>978-5-9614-6902-8</t>
  </si>
  <si>
    <t>Лич Лоуренс</t>
  </si>
  <si>
    <t>Вовремя и в рамках бюджета: Управление проектами по методу критической цепи</t>
  </si>
  <si>
    <t>AAA2503043-P</t>
  </si>
  <si>
    <t>978-5-9614-6850-2</t>
  </si>
  <si>
    <t>Миллер Дональд, Питерсон Джей Джей</t>
  </si>
  <si>
    <t>Воронки продаж по методу StoryBrand: Пошаговое руководство</t>
  </si>
  <si>
    <t>AAA2412014-P</t>
  </si>
  <si>
    <t>978-5-9614-8030-6</t>
  </si>
  <si>
    <t>Шумский Сергей</t>
  </si>
  <si>
    <t>Воспитание машин: Новая история разума</t>
  </si>
  <si>
    <t>NNN2502078-P</t>
  </si>
  <si>
    <t>978-5-00139-458-7</t>
  </si>
  <si>
    <t>Всё решено: Жизнь без свободы воли</t>
  </si>
  <si>
    <t>NNN2412151-P</t>
  </si>
  <si>
    <t>978-5-00223-158-4</t>
  </si>
  <si>
    <t>16.02.2025</t>
  </si>
  <si>
    <t>Рейди Мартин</t>
  </si>
  <si>
    <t>Габсбурги: Власть над миром</t>
  </si>
  <si>
    <t>NNN2412075-P</t>
  </si>
  <si>
    <t>978-5-00139-266-8</t>
  </si>
  <si>
    <t>Фабер Меб</t>
  </si>
  <si>
    <t>Глобальное распределение активов: Лучшие мировые инвестиционные стратегии</t>
  </si>
  <si>
    <t>AAA2503045-P</t>
  </si>
  <si>
    <t>978-5-9614-4033-1</t>
  </si>
  <si>
    <t>Хейг Майкл</t>
  </si>
  <si>
    <t>Голливудский стандарт: Как написать сценарий для кино и ТВ, который купят</t>
  </si>
  <si>
    <t>NNN2501279-P</t>
  </si>
  <si>
    <t>978-5-91671-743-3</t>
  </si>
  <si>
    <t>14.03.2025</t>
  </si>
  <si>
    <t>Лин Кетти</t>
  </si>
  <si>
    <t>Дейтрейдинг на рынке Forex: Стратегии извлечения прибыли</t>
  </si>
  <si>
    <t>PGR2502330-P</t>
  </si>
  <si>
    <t>978-5-9614-6136-7</t>
  </si>
  <si>
    <t>04.03.2025</t>
  </si>
  <si>
    <t>Лебедев Дмитрий</t>
  </si>
  <si>
    <t>Деньги делают деньги: От зарплаты до финансовой свободы</t>
  </si>
  <si>
    <t>AAA2410288-P</t>
  </si>
  <si>
    <t>978-5-9614-3318-0</t>
  </si>
  <si>
    <t>Айенгар Б.К. С.</t>
  </si>
  <si>
    <t>[обложка] Дерево йоги: Ежедневная практика</t>
  </si>
  <si>
    <t>NNN2502054-P</t>
  </si>
  <si>
    <t>978-5-00139-952-0</t>
  </si>
  <si>
    <t>Котлер Филип</t>
  </si>
  <si>
    <t>Десять смертных грехов маркетинга</t>
  </si>
  <si>
    <t>AAA2502207-P</t>
  </si>
  <si>
    <t>978-5-9614-6885-4</t>
  </si>
  <si>
    <t>26.02.2025</t>
  </si>
  <si>
    <t>Клейтон Кристенсен</t>
  </si>
  <si>
    <t>Дилемма инноватора: Подрывные инновации или совершенствование продукта?</t>
  </si>
  <si>
    <t>AAA2502315-P</t>
  </si>
  <si>
    <t>978-5-9614-8723-7</t>
  </si>
  <si>
    <t>Сандерс Джефф</t>
  </si>
  <si>
    <t>Доброе утро каждый день: Как рано вставать и все успевать</t>
  </si>
  <si>
    <t>AAA2502327-P</t>
  </si>
  <si>
    <t>978-5-9614-5903-6</t>
  </si>
  <si>
    <t>Норка Дмитрий</t>
  </si>
  <si>
    <t>Доверие в бизнесе: Новая стратегия успеха в эпоху тотального недоверия</t>
  </si>
  <si>
    <t>AAA2310285-P</t>
  </si>
  <si>
    <t>978-5-9614-8351-2</t>
  </si>
  <si>
    <t>Трамп Дональд</t>
  </si>
  <si>
    <t>[переплет] Думай как миллиардер</t>
  </si>
  <si>
    <t>AAA2502320-P</t>
  </si>
  <si>
    <t>978-5-9614-8689-6</t>
  </si>
  <si>
    <t>Веденеева Варвара</t>
  </si>
  <si>
    <t>Ежедневники Веденеевой. 365 facts about me: 365 фактов обо мне</t>
  </si>
  <si>
    <t>AAA2412180-P</t>
  </si>
  <si>
    <t>978-5-9614-8651-3</t>
  </si>
  <si>
    <t>Ежедневники Веденеевой</t>
  </si>
  <si>
    <t>Кампрад Ингвар, Торекуль Бертил</t>
  </si>
  <si>
    <t>Есть идея! История ИКЕА</t>
  </si>
  <si>
    <t>AAA2502214-P</t>
  </si>
  <si>
    <t>978-5-9614-6822-9</t>
  </si>
  <si>
    <t>24.02.2025</t>
  </si>
  <si>
    <t>Бомбар Ален</t>
  </si>
  <si>
    <t>За бортом по своей воле</t>
  </si>
  <si>
    <t>Пер. с фр.</t>
  </si>
  <si>
    <t>AAA2502217-P</t>
  </si>
  <si>
    <t>978-5-9614-8168-6</t>
  </si>
  <si>
    <t>Мозер Анастасия</t>
  </si>
  <si>
    <t>Зеркало для лидера. Меняй себя, чтобы управлять другими</t>
  </si>
  <si>
    <t>PGR2412250-P</t>
  </si>
  <si>
    <t>978-5-206-00214-0</t>
  </si>
  <si>
    <t>Неверов Дмитрий</t>
  </si>
  <si>
    <t>Идём по киберследу : Анализ защищенности Active Directory c помощью утилиты BloodHound</t>
  </si>
  <si>
    <t>PGR2408100-P</t>
  </si>
  <si>
    <t>978-5-206-00398-7</t>
  </si>
  <si>
    <t>Олейник Тата</t>
  </si>
  <si>
    <t>Изгнанные в сад: Пособие для неначинавших огородников</t>
  </si>
  <si>
    <t>AAA2502302-P</t>
  </si>
  <si>
    <t>978-5-9614-6891-5</t>
  </si>
  <si>
    <t>Гарсиа [Кирай] Эктор, Миральес Франсеск</t>
  </si>
  <si>
    <t>[покет-серия] Икигай: Японские секреты долгой и счастливой жизни</t>
  </si>
  <si>
    <t>AAA2412021-P</t>
  </si>
  <si>
    <t>978-5-9614-8374-1</t>
  </si>
  <si>
    <t>Вайн Саймон</t>
  </si>
  <si>
    <t>Инвестиции и трейдинг: Формирование индивидуального подхода к принятию решений</t>
  </si>
  <si>
    <t>AAA2503154-P</t>
  </si>
  <si>
    <t>978-5-9614-6907-3</t>
  </si>
  <si>
    <t>Дэвис Джослин</t>
  </si>
  <si>
    <t>Искусство мягкого влияния: 12 принципов управления без принуждения</t>
  </si>
  <si>
    <t>AAA2502308-P</t>
  </si>
  <si>
    <t>978-5-9614-4098-0</t>
  </si>
  <si>
    <t>О' Коннор Джозеф, Макдермотт Иан</t>
  </si>
  <si>
    <t>[покет-серия] Искусство системного мышления: необходимые знания о системах и творческом подходе к решению проблем</t>
  </si>
  <si>
    <t>AAA2411203-P</t>
  </si>
  <si>
    <t>978-5-9614-1175-1</t>
  </si>
  <si>
    <t>[в 2-х книгах] Источник</t>
  </si>
  <si>
    <t>AAP2410290-P</t>
  </si>
  <si>
    <t>978-5-9614-6537-2</t>
  </si>
  <si>
    <t>Хафф Дарелл</t>
  </si>
  <si>
    <t>Как лгать при помощи статистики</t>
  </si>
  <si>
    <t>AAA2502205-P</t>
  </si>
  <si>
    <t>978-5-9614-8590-5</t>
  </si>
  <si>
    <t>Кинг Ларри</t>
  </si>
  <si>
    <t>[покет-серия] Как разговаривать с кем угодно, когда угодно и где угодно</t>
  </si>
  <si>
    <t>AAA2412032-P</t>
  </si>
  <si>
    <t>978-5-9614-1179-9</t>
  </si>
  <si>
    <t>Шугерман Джозеф</t>
  </si>
  <si>
    <t>Как создать крутой рекламный текст: Принципы выдающегося американского копирайтера</t>
  </si>
  <si>
    <t>AAA2502208-P</t>
  </si>
  <si>
    <t>978-5-9614-1904-7</t>
  </si>
  <si>
    <t>[покет-серия] Как стать богатым</t>
  </si>
  <si>
    <t>AAA2412033-P</t>
  </si>
  <si>
    <t>978-5-9614-9138-8</t>
  </si>
  <si>
    <t>[переплет] Как стать богатым</t>
  </si>
  <si>
    <t>AAA2502319-P</t>
  </si>
  <si>
    <t>978-5-9614-6104-6</t>
  </si>
  <si>
    <t>Капитализм: Незнакомый идеал</t>
  </si>
  <si>
    <t>AAA2503152-P</t>
  </si>
  <si>
    <t>978-5-9614-6693-5</t>
  </si>
  <si>
    <t>Вандеркам Лора</t>
  </si>
  <si>
    <t>[переплет] Книга о потерянном времени: У вас больше возможностей, чем вы думаете</t>
  </si>
  <si>
    <t>AAA2503109-P</t>
  </si>
  <si>
    <t>978-5-9614-6802-1</t>
  </si>
  <si>
    <t>Дженкис Саймон</t>
  </si>
  <si>
    <t>Краткая история Европы</t>
  </si>
  <si>
    <t>NNN2412165-P</t>
  </si>
  <si>
    <t>978-5-91671-961-1</t>
  </si>
  <si>
    <t>Храмов Александр</t>
  </si>
  <si>
    <t>[обложка] Краткая история насекомых: Шестиногие хозяева планеты</t>
  </si>
  <si>
    <t>NNN2502080-P</t>
  </si>
  <si>
    <t>978-5-00139-956-8</t>
  </si>
  <si>
    <t>Коллектив авторов (HBR)</t>
  </si>
  <si>
    <t>Креативность</t>
  </si>
  <si>
    <t>AAA2503155-P</t>
  </si>
  <si>
    <t>978-5-9614-8041-2</t>
  </si>
  <si>
    <t>Harvard Business Review: 10 лучших статей</t>
  </si>
  <si>
    <t>Лайкер Джеффри, Трахилис Йорго</t>
  </si>
  <si>
    <t>Лидерство на всех уровнях бережливого производства: Практическое руководство</t>
  </si>
  <si>
    <t>AAA2503052-P</t>
  </si>
  <si>
    <t>978-5-9614-6858-8</t>
  </si>
  <si>
    <t>Иванова Светлана</t>
  </si>
  <si>
    <t>Ловушки управления: Как повысить результативность сотрудников</t>
  </si>
  <si>
    <t>AAA2503161-P</t>
  </si>
  <si>
    <t>978-5-9614-7019-2</t>
  </si>
  <si>
    <t>Голдсмит Маршалл</t>
  </si>
  <si>
    <t>[покет-серия] Лучшая версия себя: Правила обретения счастья и смысла на работе и в жизни</t>
  </si>
  <si>
    <t>AAA2412188-P</t>
  </si>
  <si>
    <t>978-5-9614-2522-2</t>
  </si>
  <si>
    <t>Скотт Стив Эс Джей</t>
  </si>
  <si>
    <t>Лучше каждый день: 127 полезных привычек для здоровья, счастья и успеха</t>
  </si>
  <si>
    <t>AAA2503068-P</t>
  </si>
  <si>
    <t>978-5-9614-6565-5</t>
  </si>
  <si>
    <t>Цурхорст Ева-Мария</t>
  </si>
  <si>
    <t>[покет-серия] Люби себя - не важно, с кем ты</t>
  </si>
  <si>
    <t>AAA2501249-P</t>
  </si>
  <si>
    <t>978-5-9614-1761-6</t>
  </si>
  <si>
    <t>Суним Гемин</t>
  </si>
  <si>
    <t>Любовь к несовершенству:  Принять себя и других со всеми недостатками</t>
  </si>
  <si>
    <t>AAA2410303-P</t>
  </si>
  <si>
    <t>978-5-9614-2710-3</t>
  </si>
  <si>
    <t>Горский Кирилл, Митина Наталия</t>
  </si>
  <si>
    <t>Маркетинг для дизайнеров интерьера: 57 способов привлечь клиентов</t>
  </si>
  <si>
    <t>AAA2503156-P</t>
  </si>
  <si>
    <t>978-5-9614-7744-3</t>
  </si>
  <si>
    <t>Маркетинг от А до Я: 80 концепций, которые должен знать каждый менеджер</t>
  </si>
  <si>
    <t>AAA2409085-P</t>
  </si>
  <si>
    <t>978-5-9614-6745-1</t>
  </si>
  <si>
    <t>Стюарт Иэн</t>
  </si>
  <si>
    <t>Математика космоса: Как современная наука расшифровывает Вселенную</t>
  </si>
  <si>
    <t>NNN2501281-P</t>
  </si>
  <si>
    <t>978-5-00139-624-6</t>
  </si>
  <si>
    <t>Майзульс Михаил</t>
  </si>
  <si>
    <t>Между Христом и Антихристом: «Поклонение волхвов» Иеронима Босха</t>
  </si>
  <si>
    <t>NNN2502089-P</t>
  </si>
  <si>
    <t>978-5-00139-478-5</t>
  </si>
  <si>
    <t>26.03.2025</t>
  </si>
  <si>
    <t>Деминг Эдвардс</t>
  </si>
  <si>
    <t>Менеджмент нового времени: Простые механизмы, ведущие к росту, инновациям и доминированию на рынке</t>
  </si>
  <si>
    <t>AAA2503150-P</t>
  </si>
  <si>
    <t>978-5-9614-1244-4</t>
  </si>
  <si>
    <t>Метод скользкой горки: Сторителлинг для Reels, Stories, TikTok-роликов и других форматов социальных сетей</t>
  </si>
  <si>
    <t>AAA2502218-P</t>
  </si>
  <si>
    <t>978-5-9614-4271-7</t>
  </si>
  <si>
    <t>Метод стартапа: Предпринимательские принципы управления для долгосрочного роста компании</t>
  </si>
  <si>
    <t>AAA2503153-P</t>
  </si>
  <si>
    <t>978-5-9614-0718-1</t>
  </si>
  <si>
    <t>Методы принятия решений</t>
  </si>
  <si>
    <t>AAA2503088-P</t>
  </si>
  <si>
    <t>978-5-9614-7130-4</t>
  </si>
  <si>
    <t>Саган Карл</t>
  </si>
  <si>
    <t>Миллиарды и миллиарды: Размышления о жизни и смерти на рубеже тысячелетий</t>
  </si>
  <si>
    <t>NNN2501280-P</t>
  </si>
  <si>
    <t>978-5-91671-787-7</t>
  </si>
  <si>
    <t>Сейсембай Маргулан</t>
  </si>
  <si>
    <t>Миссия выполнима. Технология счастливой жизни</t>
  </si>
  <si>
    <t>PGR2502006-P</t>
  </si>
  <si>
    <t>978-5-206-00060-3</t>
  </si>
  <si>
    <t>10.02.2025</t>
  </si>
  <si>
    <t>Гамильтон эдит</t>
  </si>
  <si>
    <t>Мифология: Бессмертные истории о богах и героях</t>
  </si>
  <si>
    <t>NNN2412225-P</t>
  </si>
  <si>
    <t>978-5-91671-971-0</t>
  </si>
  <si>
    <t>Мамлеев Юрий</t>
  </si>
  <si>
    <t>Московский гамбит</t>
  </si>
  <si>
    <t>NNP2502079-P</t>
  </si>
  <si>
    <t>978-5-00139-523-2</t>
  </si>
  <si>
    <t>Мэнсон Марк</t>
  </si>
  <si>
    <t>Мужские правила: Отношения, секс, психология</t>
  </si>
  <si>
    <t>AAA2502020-P</t>
  </si>
  <si>
    <t>978-5-9614-3212-1</t>
  </si>
  <si>
    <t>Щербаков Борис</t>
  </si>
  <si>
    <t>Наверху, или Инструкция по выживанию для топ-менеджера</t>
  </si>
  <si>
    <t>PGR2502093-P</t>
  </si>
  <si>
    <t>978-5-206-00122-8</t>
  </si>
  <si>
    <t>Крышкин Олег</t>
  </si>
  <si>
    <t>Настольная книга по внутреннему аудиту: Риски и бизнес-процессы</t>
  </si>
  <si>
    <t>AAA2503074-P</t>
  </si>
  <si>
    <t>978-5-9614-7138-0</t>
  </si>
  <si>
    <t>Келлехер Джон, Тирни Брендан</t>
  </si>
  <si>
    <t>Наука о данных: Базовый курс</t>
  </si>
  <si>
    <t>AAA2503160-P</t>
  </si>
  <si>
    <t>978-5-9614-3170-4</t>
  </si>
  <si>
    <t>Дойч Дэвид</t>
  </si>
  <si>
    <t>[покет] Начало бесконечности: Объяснения, которые меняют мир</t>
  </si>
  <si>
    <t>NNN2412221-P</t>
  </si>
  <si>
    <t>978-5-00139-004-6</t>
  </si>
  <si>
    <t>Alpina Popular Science</t>
  </si>
  <si>
    <t>Адлер Алина</t>
  </si>
  <si>
    <t>[пазлы] Наш год: Ежедневник для пар. Один вопрос в день для лучшего понимания друг друга</t>
  </si>
  <si>
    <t>AAA2412028-P</t>
  </si>
  <si>
    <t>978-5-9614-8263-8</t>
  </si>
  <si>
    <t>[сердечко] Наш год: Ежедневник для пар. Один вопрос в день для лучшего понимания друг друга</t>
  </si>
  <si>
    <t>AAA2412265-P</t>
  </si>
  <si>
    <t>978-5-9614-9274-3</t>
  </si>
  <si>
    <t>Обложка + суперобложка</t>
  </si>
  <si>
    <t>Батанов Константин</t>
  </si>
  <si>
    <t>Ни хао! Как вести дела с китайскими партнерами</t>
  </si>
  <si>
    <t>AAA2503046-P</t>
  </si>
  <si>
    <t>978-5-9614-2503-1</t>
  </si>
  <si>
    <t>Тренин Дмитрий</t>
  </si>
  <si>
    <t>Новый баланс сил: Россия в поисках внешнеполитического равновесия</t>
  </si>
  <si>
    <t>AAA2503057-P</t>
  </si>
  <si>
    <t>978-5-9614-5970-8</t>
  </si>
  <si>
    <t>"Россия в глобальной политике" рекомендует</t>
  </si>
  <si>
    <t>Ворслав Маша, Мифтахова Адэль</t>
  </si>
  <si>
    <t>Нормально о косметике: Как разобраться в уходе и макияже и не сойти с ума</t>
  </si>
  <si>
    <t>AAA2410276-P</t>
  </si>
  <si>
    <t>978-5-9614-8892-0</t>
  </si>
  <si>
    <t>Латыпов Илья</t>
  </si>
  <si>
    <t>[обложка с клапанами] Один на один с жизнью: Книга, которая поможет найти смысл</t>
  </si>
  <si>
    <t>AAA2411156-P</t>
  </si>
  <si>
    <t>978-5-9614-9026-8</t>
  </si>
  <si>
    <t>Баркер Джоэл</t>
  </si>
  <si>
    <t>Опережающее мышление: Как увидеть новый тренд раньше других</t>
  </si>
  <si>
    <t>AAA2503111-P</t>
  </si>
  <si>
    <t>978-5-9614-4786-6</t>
  </si>
  <si>
    <t>Андерсон Стив</t>
  </si>
  <si>
    <t>Письма Безоса: 14 принципов роста бизнеса от Amazon</t>
  </si>
  <si>
    <t>AAA2503108-P</t>
  </si>
  <si>
    <t>978-5-9614-3142-1</t>
  </si>
  <si>
    <t>Циммер Карл</t>
  </si>
  <si>
    <t>Планета вирусов</t>
  </si>
  <si>
    <t>NNN2502049-P</t>
  </si>
  <si>
    <t>978-5-00139-545-4</t>
  </si>
  <si>
    <t>Моазед Алекс, Джонсон Николас</t>
  </si>
  <si>
    <t>Платформа: Практическое применение революционной бизнес-модели</t>
  </si>
  <si>
    <t>AAA2503158-P</t>
  </si>
  <si>
    <t>978-5-9614-1245-1</t>
  </si>
  <si>
    <t>Иммельт Джефф, Уоллес Эми</t>
  </si>
  <si>
    <t>Под напряжением: Уроки лидерства руководителя General Electric</t>
  </si>
  <si>
    <t>AAA2503159-P</t>
  </si>
  <si>
    <t>978-5-9614-7206-6</t>
  </si>
  <si>
    <t>Воннегут Курт, Макконнелл Сьюзен</t>
  </si>
  <si>
    <t>Пожалейте читателя: Как писать хорошо</t>
  </si>
  <si>
    <t>AAA2502213-P</t>
  </si>
  <si>
    <t>978-5-9614-4218-2</t>
  </si>
  <si>
    <t>Поиск и оценка линейного персонала: Повышение эффективности и снижение затрат</t>
  </si>
  <si>
    <t>AAA2502299-P</t>
  </si>
  <si>
    <t>978-5-9614-8568-4</t>
  </si>
  <si>
    <t>Дейли Эллина</t>
  </si>
  <si>
    <t>Пока мне не исполнилось 30: Что важно понять и сделать уже сейчас</t>
  </si>
  <si>
    <t>AAA2411131-P</t>
  </si>
  <si>
    <t>978-5-9614-7255-4</t>
  </si>
  <si>
    <t>Степаненко Таня</t>
  </si>
  <si>
    <t>Полезная саморефлексия: Книга-практикум для искреннего разговора с собой</t>
  </si>
  <si>
    <t>AAA2412183-P</t>
  </si>
  <si>
    <t>978-5-9614-7309-4</t>
  </si>
  <si>
    <t>Лидс Реджина</t>
  </si>
  <si>
    <t>[покет-серия] Полный порядок: Понедельный план борьбы с хаосом на работе, дома и в голове</t>
  </si>
  <si>
    <t>AAA2412022-P</t>
  </si>
  <si>
    <t>978-5-9614-9618-5</t>
  </si>
  <si>
    <t>07.03.2025</t>
  </si>
  <si>
    <t>Крегер Отто, Тьюсен Джанет, Ратледж Хайл</t>
  </si>
  <si>
    <t>Почему мы такие на работе? Как осознать наши различия и успешно работать вместе. 16 типов личности</t>
  </si>
  <si>
    <t>AAA2502220-P</t>
  </si>
  <si>
    <t>978-5-9614-7862-4</t>
  </si>
  <si>
    <t>27.02.2025</t>
  </si>
  <si>
    <t>Темплар Ричард</t>
  </si>
  <si>
    <t>Правила богатства: Свой путь к благосостоянию</t>
  </si>
  <si>
    <t>AAA2502231-P</t>
  </si>
  <si>
    <t>978-5-9614-6184-8</t>
  </si>
  <si>
    <t>Правила жизни: Как добиться успеха и стать счастливым</t>
  </si>
  <si>
    <t>AAA2502233-P</t>
  </si>
  <si>
    <t>978-5-9614-1762-3</t>
  </si>
  <si>
    <t>Правила менеджмента: Как ведут себя успешные руководители</t>
  </si>
  <si>
    <t>AAA2502232-P</t>
  </si>
  <si>
    <t>978-5-9614-6149-7</t>
  </si>
  <si>
    <t>Продажи</t>
  </si>
  <si>
    <t>AAA2503060-P</t>
  </si>
  <si>
    <t>978-5-9614-3206-0</t>
  </si>
  <si>
    <t>Продажи на 100%: Эффективные техники продвижения товаров и услуг</t>
  </si>
  <si>
    <t>AAA2503058-P</t>
  </si>
  <si>
    <t>978-5-9614-9371-9</t>
  </si>
  <si>
    <t>Псоглавцы</t>
  </si>
  <si>
    <t>NNP2412155-P</t>
  </si>
  <si>
    <t>978-5-00139-505-8</t>
  </si>
  <si>
    <t>Остервальдер Александр</t>
  </si>
  <si>
    <t>Разработка ценностных предложений: Как создавать товары и услуги, которые захотят купить потребители. Ваш первый шаг...</t>
  </si>
  <si>
    <t>AAA2501150-P</t>
  </si>
  <si>
    <t>978-5-9614-6747-5</t>
  </si>
  <si>
    <t>Бизнес-модели Остервальдера</t>
  </si>
  <si>
    <t>Грэм Бенджамин</t>
  </si>
  <si>
    <t>Разумный инвестор: Полное руководство по стоимостному инвестированию</t>
  </si>
  <si>
    <t>AAA2407019-P</t>
  </si>
  <si>
    <t>978-5-9614-6544-0</t>
  </si>
  <si>
    <t>Колер Стивен, Мур Пит, Оуэн Дэвид</t>
  </si>
  <si>
    <t>Сам или помогли? Как криминалисты раскрыли 50 "идеальных" убийств</t>
  </si>
  <si>
    <t>AAA2411197-P</t>
  </si>
  <si>
    <t>978-5-9614-3278-7</t>
  </si>
  <si>
    <t>Элдер Александр</t>
  </si>
  <si>
    <t>Самый сильный сигнал в техническом анализе: Расхождения и развороты трендов</t>
  </si>
  <si>
    <t>AAA2502305-P</t>
  </si>
  <si>
    <t>978-5-9614-6862-5</t>
  </si>
  <si>
    <t>Ткаченко Дмитрий</t>
  </si>
  <si>
    <t>Сбор долгов без судов: Работа с дебиторской задолженностью</t>
  </si>
  <si>
    <t>AAA2503110-P</t>
  </si>
  <si>
    <t>978-5-9614-3845-1</t>
  </si>
  <si>
    <t>Дерябин Сергей</t>
  </si>
  <si>
    <t>Свободное погружение. О природе лидерства и обретении личной силы</t>
  </si>
  <si>
    <t>PGR2502287-P</t>
  </si>
  <si>
    <t>978-5-206-00094-8</t>
  </si>
  <si>
    <t>Новикова Ольга</t>
  </si>
  <si>
    <t>Сделай это в Китае! Руководство по производству вашего товара в КНР: от идеи до партии на складе</t>
  </si>
  <si>
    <t>AAA2503040-P</t>
  </si>
  <si>
    <t>978-5-9614-2838-4</t>
  </si>
  <si>
    <t>Кови Стивен Р., Кови Шон</t>
  </si>
  <si>
    <t>[обложка с клапанами] Семь навыков высокоэффективных людей: Мощные инструменты развития личности (Юбилейное издание, дополненное)</t>
  </si>
  <si>
    <t>AAA2411209-P</t>
  </si>
  <si>
    <t>978-5-9614-4809-2</t>
  </si>
  <si>
    <t>Арден Рон, Трейси Брайан</t>
  </si>
  <si>
    <t>[покет-серия] Сила обаяния: Как завоевывать сердца и добиваться успеха</t>
  </si>
  <si>
    <t>AAA2412186-P</t>
  </si>
  <si>
    <t>978-5-9614-1180-5</t>
  </si>
  <si>
    <t>Уивер Либби</t>
  </si>
  <si>
    <t>Синдром белки в колесе: Как сохранить здоровье и сберечь нервы в мире бесконечных дел</t>
  </si>
  <si>
    <t>AAA2502328-P</t>
  </si>
  <si>
    <t>978-5-9614-6058-2</t>
  </si>
  <si>
    <t>Франкл Виктор</t>
  </si>
  <si>
    <t>Сказать жизни "ДА!": психолог в концлагере</t>
  </si>
  <si>
    <t>NNN2411161-P</t>
  </si>
  <si>
    <t>978-5-91671-838-6</t>
  </si>
  <si>
    <t>70x90/32</t>
  </si>
  <si>
    <t>28.01.2025</t>
  </si>
  <si>
    <t>Хоффман Грег</t>
  </si>
  <si>
    <t>Создавая эмоции: Уроки креативности и дизайна впечатлений от экс-директора по маркетингу Nike</t>
  </si>
  <si>
    <t>AAA2502326-P</t>
  </si>
  <si>
    <t>978-5-9614-7606-4</t>
  </si>
  <si>
    <t>Сотрудничество</t>
  </si>
  <si>
    <t>AAA2503212-P</t>
  </si>
  <si>
    <t>978-5-9614-7106-9</t>
  </si>
  <si>
    <t>Макгрегор Рене</t>
  </si>
  <si>
    <t>[покет-серия] Спортивное питание: Что есть до, во время и после тренировки</t>
  </si>
  <si>
    <t>AAA2412018-P</t>
  </si>
  <si>
    <t>978-5-9614-8407-6</t>
  </si>
  <si>
    <t>Литвинова Татьяна</t>
  </si>
  <si>
    <t>Сталин жил в нашей квартире: Как травмы наших предков мешают нам жить и что с этим делать</t>
  </si>
  <si>
    <t>AAA2502311-P</t>
  </si>
  <si>
    <t>978-5-9614-8238-6</t>
  </si>
  <si>
    <t>Семихатов Алексей</t>
  </si>
  <si>
    <t>Сто лет недосказанности: Квантовая механика для всех в 25 эссе</t>
  </si>
  <si>
    <t>NNN2412061-P</t>
  </si>
  <si>
    <t>978-5-00223-174-4</t>
  </si>
  <si>
    <t>Сузуки Венди, Фицпатрик Билли</t>
  </si>
  <si>
    <t>[покет-серия] Странная девочка, которая влюбилась в мозг: Как знание нейробиологии помогает стать привлекательнее, счастливее и лучше</t>
  </si>
  <si>
    <t>AAA2412015-P</t>
  </si>
  <si>
    <t>978-5-9614-9388-7</t>
  </si>
  <si>
    <t>Розин Марк</t>
  </si>
  <si>
    <t>Стратегия чистого листа: Как перестать планировать и начать делать бизнес</t>
  </si>
  <si>
    <t>AAA2503056-P</t>
  </si>
  <si>
    <t>978-5-9614-3657-0</t>
  </si>
  <si>
    <t>Бернс Дэвид</t>
  </si>
  <si>
    <t>[обложка] Терапия настроения:  Клинически доказанный способ победить депрессию без таблеток</t>
  </si>
  <si>
    <t>AAA2404194-P</t>
  </si>
  <si>
    <t>978-5-9614-1819-4</t>
  </si>
  <si>
    <t>Шиффман Стивен</t>
  </si>
  <si>
    <t>Техники холодных звонков: То, что реально работает</t>
  </si>
  <si>
    <t>AAA2502301-P</t>
  </si>
  <si>
    <t>978-5-9614-9921-6</t>
  </si>
  <si>
    <t>[обложка] Тонкое искусство пофигизма: Парадоксальный способ жить счастливо</t>
  </si>
  <si>
    <t>AAA2502030-P</t>
  </si>
  <si>
    <t>978-5-9614-6535-8</t>
  </si>
  <si>
    <t>Мур Гарет</t>
  </si>
  <si>
    <t>Тренажер мозга: Как развить гибкость мышления за 40 дней</t>
  </si>
  <si>
    <t>AAA2411143-P</t>
  </si>
  <si>
    <t>978-5-9614-3512-2</t>
  </si>
  <si>
    <t>03.02.2025</t>
  </si>
  <si>
    <t>Тренажер памяти: Как развить память за 40 дней</t>
  </si>
  <si>
    <t>AAA2402037-P</t>
  </si>
  <si>
    <t>978-5-9614-2458-4</t>
  </si>
  <si>
    <t>Тренажеры мозга Гарета Мура</t>
  </si>
  <si>
    <t>Чуркина Мария, Жадько Наталья</t>
  </si>
  <si>
    <t>Тренинг для тренеров на 100%: Секреты интенсивного обучения</t>
  </si>
  <si>
    <t>PGR2503065-P</t>
  </si>
  <si>
    <t>978-5-907394-09-4</t>
  </si>
  <si>
    <t>[покет-серия] Ты то, что ты думаешь: Как управлять своими мыслями и менять жизнь к лучшему</t>
  </si>
  <si>
    <t>AAA2412113-P</t>
  </si>
  <si>
    <t>978-5-9614-8462-5</t>
  </si>
  <si>
    <t>Ньютон Ричард</t>
  </si>
  <si>
    <t>Управление проектами от А до Я</t>
  </si>
  <si>
    <t>AAA2502318-P</t>
  </si>
  <si>
    <t>978-5-9614-6940-0</t>
  </si>
  <si>
    <t>Управленческая эффективность руководителя</t>
  </si>
  <si>
    <t>PGR2503064-P</t>
  </si>
  <si>
    <t>978-5-9614-7044-4</t>
  </si>
  <si>
    <t>Герасименко Алексей</t>
  </si>
  <si>
    <t>Финансовый менеджмент - это просто: Базовый курс для руководителей и начинающих специалистов</t>
  </si>
  <si>
    <t>AAA2502317-P</t>
  </si>
  <si>
    <t>978-5-9614-7054-3</t>
  </si>
  <si>
    <t>Фокс Кабейн Оливия</t>
  </si>
  <si>
    <t>[покет-серия] Харизма: Как влиять, убеждать и вдохновлять</t>
  </si>
  <si>
    <t>AAA2411129-P</t>
  </si>
  <si>
    <t>978-5-9614-7140-3</t>
  </si>
  <si>
    <t>Эрхардт Уте</t>
  </si>
  <si>
    <t>[покет-серия] Хорошие девочки отправляются на небеса, а плохие - куда захотят...</t>
  </si>
  <si>
    <t>AAA2410180-P</t>
  </si>
  <si>
    <t>978-5-9614-6892-2</t>
  </si>
  <si>
    <t>Востоков Станислав</t>
  </si>
  <si>
    <t>Чему я могу научиться у Николая Дроздова</t>
  </si>
  <si>
    <t>ADK2412281-P</t>
  </si>
  <si>
    <t>978-5-9614-9095-4</t>
  </si>
  <si>
    <t>Уроки из жизни</t>
  </si>
  <si>
    <t>Бредемайер Карстен</t>
  </si>
  <si>
    <t>[покет-серия] Черная риторика: Власть и магия слова</t>
  </si>
  <si>
    <t>AAA2412114-P</t>
  </si>
  <si>
    <t>978-5-9614-2592-5</t>
  </si>
  <si>
    <t>Переговоры и риторика</t>
  </si>
  <si>
    <t>Аткинсон Мэрилин, Стефани Питер</t>
  </si>
  <si>
    <t>Четыре типа мышления: Практика трансформации личности (Книга II)</t>
  </si>
  <si>
    <t>AAA2503157-P</t>
  </si>
  <si>
    <t>978-5-9614-7553-1</t>
  </si>
  <si>
    <t>Четыре типа мышления: Принципы трансформации личности (Книга I)</t>
  </si>
  <si>
    <t>AAA2502306-P</t>
  </si>
  <si>
    <t>978-5-9614-7554-8</t>
  </si>
  <si>
    <t>Зимбардо Филип</t>
  </si>
  <si>
    <t>Эффект Люцифера: Почему хорошие люди превращаются в злодеев</t>
  </si>
  <si>
    <t>NNN2411170-P</t>
  </si>
  <si>
    <t>978-5-91671-834-8</t>
  </si>
  <si>
    <t>Непряхин Никита</t>
  </si>
  <si>
    <t>Я манипулирую тобой: Методы противодействия скрытому влиянию</t>
  </si>
  <si>
    <t>AAA2411132-P</t>
  </si>
  <si>
    <t>978-5-9614-6541-9</t>
  </si>
  <si>
    <t>Симеон Дафни, Абугел Джеффри</t>
  </si>
  <si>
    <t>Я не я: Что такое деперсонализация и как с этим жить</t>
  </si>
  <si>
    <t>AAA2503051-P</t>
  </si>
  <si>
    <t>978-5-9614-4042-3</t>
  </si>
  <si>
    <t>Я слышу, что вы думаете на самом деле</t>
  </si>
  <si>
    <t>AAA2503050-P</t>
  </si>
  <si>
    <t>978-5-9614-6669-0</t>
  </si>
  <si>
    <t>Ильяхов Максим</t>
  </si>
  <si>
    <t>Ясно, понятно: Как доносить мысли и убеждать людей с помощью слов</t>
  </si>
  <si>
    <t>AAA2502031-P</t>
  </si>
  <si>
    <t>978-5-9614-3582-5</t>
  </si>
  <si>
    <t>БЕСТСЕЛЛЕРЫ</t>
  </si>
  <si>
    <t>Ильяхов Максим, Сарычева Людмила</t>
  </si>
  <si>
    <t>Пиши, сокращай 2025: Как создавать сильный текст</t>
  </si>
  <si>
    <t>AAA2411128-P</t>
  </si>
  <si>
    <t>978-5-9614-8714-5</t>
  </si>
  <si>
    <t>29.01.2025</t>
  </si>
  <si>
    <t>Бреан Аре, Скейе Гейр Ульве</t>
  </si>
  <si>
    <t>[покет-серия] Музыка и мозг: Как музыка влияет на эмоции, здоровье и интеллект</t>
  </si>
  <si>
    <t>Пер. с норв.</t>
  </si>
  <si>
    <t>AAA2411199-P</t>
  </si>
  <si>
    <t>978-5-9614-8581-3</t>
  </si>
  <si>
    <t>КАТАЛОГ</t>
  </si>
  <si>
    <t>Сильный текст и деловая переписка: Книжный бокс Максима Ильяхова</t>
  </si>
  <si>
    <t>AAA2112129-C</t>
  </si>
  <si>
    <t>978-5-9614-7707-8</t>
  </si>
  <si>
    <t>01. Популярная психология, саморазвитие, личная эффективность</t>
  </si>
  <si>
    <t>1.01. Главные книги раздела</t>
  </si>
  <si>
    <t>[синий] 6 минут PURE. Ежедневник, который изменит вашу жизнь (продолжение). Inspired by Gunta Stölzl</t>
  </si>
  <si>
    <t>AAA2402088-P</t>
  </si>
  <si>
    <t>978-5-9614-8385-7</t>
  </si>
  <si>
    <t>Анатомия заблуждений: Большая книга по критическому мышлению</t>
  </si>
  <si>
    <t>AAA2410285-P</t>
  </si>
  <si>
    <t>978-5-9614-3144-5</t>
  </si>
  <si>
    <t>27.01.2025</t>
  </si>
  <si>
    <t>Малионова Марина, Турышева Ольга</t>
  </si>
  <si>
    <t>Без оглядки на маму: Как обрести внутренние опоры и завершить сепарацию</t>
  </si>
  <si>
    <t>AAA2411206-P</t>
  </si>
  <si>
    <t>978-5-9614-9041-1</t>
  </si>
  <si>
    <t>Ариели Дэн</t>
  </si>
  <si>
    <t>Время заблуждений: Почему умные люди поддаются фальсификациям, распространяют слухи и верят в теории заговора</t>
  </si>
  <si>
    <t>AAA2306035-P</t>
  </si>
  <si>
    <t>978-5-9614-9015-2</t>
  </si>
  <si>
    <t>[обложка] Всё хреново: Книга о надежде</t>
  </si>
  <si>
    <t>AAA2403139-P</t>
  </si>
  <si>
    <t>978-5-9614-2662-5</t>
  </si>
  <si>
    <t>Марьевич Ирина</t>
  </si>
  <si>
    <t>Дети деньги не зарабатывают. Разрешите себе вырасти и обрести финансовую свободу</t>
  </si>
  <si>
    <t>PGR2409209-P</t>
  </si>
  <si>
    <t>978-5-907470-72-9</t>
  </si>
  <si>
    <t>Кеннеди Гэвин</t>
  </si>
  <si>
    <t>[обложка] Договориться можно обо всем! Как добиваться максимума в любых переговорах</t>
  </si>
  <si>
    <t>AAA2410025-P</t>
  </si>
  <si>
    <t>978-5-9614-6867-0</t>
  </si>
  <si>
    <t>Оакли Барбара</t>
  </si>
  <si>
    <t>[покет-серия] Думай как математик: Как решать любые задачи быстрее и эффективнее</t>
  </si>
  <si>
    <t>AAA2410110-P</t>
  </si>
  <si>
    <t>978-5-9614-8512-7</t>
  </si>
  <si>
    <t>Думай как математик: Как решать любые задачи быстрее и эффективнее</t>
  </si>
  <si>
    <t>AAA2407117-P</t>
  </si>
  <si>
    <t>978-5-9614-6624-9</t>
  </si>
  <si>
    <t>Джексон Светлана</t>
  </si>
  <si>
    <t>За кадром. О скрытой работе нашей психики</t>
  </si>
  <si>
    <t>PGR2403090-P</t>
  </si>
  <si>
    <t>978-5-206-00153-2</t>
  </si>
  <si>
    <t>Флейшер Евгений</t>
  </si>
  <si>
    <t>Зачем? Как достичь счастливой и гармоничной жизни</t>
  </si>
  <si>
    <t>PGR2312114-P</t>
  </si>
  <si>
    <t>978-5-206-00313-0</t>
  </si>
  <si>
    <t>Колосова  Светлана</t>
  </si>
  <si>
    <t>Звезда эфира : Прокачиваем навыки онлайн-коммуникации</t>
  </si>
  <si>
    <t>PGR2107045-P</t>
  </si>
  <si>
    <t>978-5-907534-06-3</t>
  </si>
  <si>
    <t>Новоселова Елена</t>
  </si>
  <si>
    <t>Материнская власть: Психологические последствия в жизни взрослых людей. Как начать жить своей жизнью</t>
  </si>
  <si>
    <t>AAA2410015-P</t>
  </si>
  <si>
    <t>978-5-9614-8541-7</t>
  </si>
  <si>
    <t>Ровира Алекс</t>
  </si>
  <si>
    <t>Менталитет удачи: 30 шагов, чтобы научиться управлять своей жизнью</t>
  </si>
  <si>
    <t>AAA2412189-P</t>
  </si>
  <si>
    <t>978-5-9614-9510-2</t>
  </si>
  <si>
    <t>Непряхин Никита, Скворцов Дмитрий</t>
  </si>
  <si>
    <t>Надо думать! Тренажер мышления</t>
  </si>
  <si>
    <t>AAA2311141-P</t>
  </si>
  <si>
    <t>978-5-9614-9457-0</t>
  </si>
  <si>
    <t>Стрип Пег</t>
  </si>
  <si>
    <t>Нелюбимая дочь. Как оставить в прошлом травматичные отношения с матерью и начать новую жизнь</t>
  </si>
  <si>
    <t>NNN2308087-P</t>
  </si>
  <si>
    <t>978-5-00139-093-0</t>
  </si>
  <si>
    <t>[покет-серия] Нелюбимая дочь. Как оставить в прошлом травматичные отношения с матерью и начать новую жизнь</t>
  </si>
  <si>
    <t>NNN2308086-P</t>
  </si>
  <si>
    <t>978-5-00139-938-4</t>
  </si>
  <si>
    <t>О смысле жизни</t>
  </si>
  <si>
    <t>NNN2410087-P</t>
  </si>
  <si>
    <t>978-5-00139-621-5</t>
  </si>
  <si>
    <t>[переплет] Один на один с жизнью: Книга, которая поможет найти смысл</t>
  </si>
  <si>
    <t>AAA2410069-P</t>
  </si>
  <si>
    <t>978-5-0063-0223-5</t>
  </si>
  <si>
    <t>Чиксентмихайи Михай</t>
  </si>
  <si>
    <t>Поток: Психология оптимального переживания (7БЦ)</t>
  </si>
  <si>
    <t>NNN2409199-P</t>
  </si>
  <si>
    <t>978-5-91671-857-7</t>
  </si>
  <si>
    <t>Поток: Психология оптимального переживания (обложка)</t>
  </si>
  <si>
    <t>NNN2310219-P</t>
  </si>
  <si>
    <t>978-5-91671-888-1</t>
  </si>
  <si>
    <t>Рестарт 2.0: Книга-практикум. Ваш план перезагрузки</t>
  </si>
  <si>
    <t>AAA2408075-P</t>
  </si>
  <si>
    <t>978-5-9614-7433-6</t>
  </si>
  <si>
    <t>[покет-серия] Рестарт: Как прожить много жизней</t>
  </si>
  <si>
    <t>AAA2404188-P</t>
  </si>
  <si>
    <t>978-5-9614-8562-2</t>
  </si>
  <si>
    <t>Рестарт: Как прожить много жизней (новая обложка)</t>
  </si>
  <si>
    <t>AAA2303132-P</t>
  </si>
  <si>
    <t>978-5-9614-3837-6</t>
  </si>
  <si>
    <t>Санд Илсе</t>
  </si>
  <si>
    <t>С любовью к себе: Как избавиться от чувства вины и обрести гармонию</t>
  </si>
  <si>
    <t>Пер. с дат.</t>
  </si>
  <si>
    <t>AAA2404203-P</t>
  </si>
  <si>
    <t>978-5-9614-8537-0</t>
  </si>
  <si>
    <t>Книги Илсе Санд</t>
  </si>
  <si>
    <t>Семья что надо: Как жить счастливо с самыми близкими. Книга о любви</t>
  </si>
  <si>
    <t>AAA2410287-P</t>
  </si>
  <si>
    <t>978-5-9614-8914-9</t>
  </si>
  <si>
    <t>09.01.2025</t>
  </si>
  <si>
    <t>Янг Эмма</t>
  </si>
  <si>
    <t>Суперчувства: 32 способа познавать реальность</t>
  </si>
  <si>
    <t>NNN2102067-P</t>
  </si>
  <si>
    <t>978-5-00139-460-0</t>
  </si>
  <si>
    <t>Лапина Юлия</t>
  </si>
  <si>
    <t>Тело, еда, секс и тревога: Что беспокоит современную женщину. Исследование клинического психолога</t>
  </si>
  <si>
    <t>NNN2312089-P</t>
  </si>
  <si>
    <t>978-5-91671-782-2</t>
  </si>
  <si>
    <t>[обложка] Терапия беспокойства: Как справляться со страхами, тревогами и паническими атаками без лекарств</t>
  </si>
  <si>
    <t>AAA2411137-P</t>
  </si>
  <si>
    <t>978-5-9614-4775-0</t>
  </si>
  <si>
    <t>Терапия одиночества: Как научиться общаться, дружить и любить</t>
  </si>
  <si>
    <t>AAA2409108-P</t>
  </si>
  <si>
    <t>978-5-9614-7672-9</t>
  </si>
  <si>
    <t>[переплет] Тонкое искусство пофигизма: Парадоксальный способ жить счастливо</t>
  </si>
  <si>
    <t>AAA2410108-P</t>
  </si>
  <si>
    <t>978-5-9614-7219-6</t>
  </si>
  <si>
    <t>Чиллософия: Опыты выхода из безвыходности</t>
  </si>
  <si>
    <t>AAA2312158-P</t>
  </si>
  <si>
    <t>978-5-9614-7454-1</t>
  </si>
  <si>
    <t>AAA2311119-P</t>
  </si>
  <si>
    <t>978-5-9614-9453-2</t>
  </si>
  <si>
    <t>Зверева Нина, Иконникова Светлана</t>
  </si>
  <si>
    <t>Я спрашиваю — мне отвечают: Инструменты искусного диалога</t>
  </si>
  <si>
    <t>AAA2410283-P</t>
  </si>
  <si>
    <t>978-5-9614-8640-7</t>
  </si>
  <si>
    <t>1.02. Прикладная психология и личная эффективность</t>
  </si>
  <si>
    <t>Долганова Мария</t>
  </si>
  <si>
    <t xml:space="preserve"> Обычный вторник: Как полюбить будни и находить радость в каждом дне</t>
  </si>
  <si>
    <t>AAA2503134-P</t>
  </si>
  <si>
    <t>978-5-9614-8583-7</t>
  </si>
  <si>
    <t>Глазунов Ярослав, Митрова Татьяна</t>
  </si>
  <si>
    <t>8 1/2 шагов : Жить, любить, работать на полной мощности</t>
  </si>
  <si>
    <t>LGA1912177-P</t>
  </si>
  <si>
    <t>978-5-907274-35-8</t>
  </si>
  <si>
    <t>Ленгольд Катерина</t>
  </si>
  <si>
    <t>Agile life: Как вывести жизнь на новую орбиту, используя методы agile-планирования, нейрофизиологию и самокоучинг</t>
  </si>
  <si>
    <t>AAA2409101-P</t>
  </si>
  <si>
    <t>978-5-9614-3915-1</t>
  </si>
  <si>
    <t>Сосновцева Елена</t>
  </si>
  <si>
    <t>Memento memory:  Как улучшить память, концентрацию и продуктивность мозга</t>
  </si>
  <si>
    <t>AAA2012046-P</t>
  </si>
  <si>
    <t>978-5-9614-3620-4</t>
  </si>
  <si>
    <t>Мартин Лора Мэй</t>
  </si>
  <si>
    <t>Аптайм: Оптимальный способ управления временем и энергией</t>
  </si>
  <si>
    <t>AAA2410029-P</t>
  </si>
  <si>
    <t>978-5-9614-9616-1</t>
  </si>
  <si>
    <t>Михалченко Елена</t>
  </si>
  <si>
    <t>Архитектура перемен. Как перестроить жизнь: от проекта до реализации</t>
  </si>
  <si>
    <t>PGR2501079-P</t>
  </si>
  <si>
    <t>978-5-206-00321-5</t>
  </si>
  <si>
    <t>Фомичева Наталья</t>
  </si>
  <si>
    <t>Близость: Книга о хорошем сексе</t>
  </si>
  <si>
    <t>AAA2410018-P</t>
  </si>
  <si>
    <t>978-5-9614-9487-7</t>
  </si>
  <si>
    <t>Вэбер Шарлотта Фокс</t>
  </si>
  <si>
    <t>Больше чем желание: Разговоры с психологом о сокровенном</t>
  </si>
  <si>
    <t>AAA2009045-P</t>
  </si>
  <si>
    <t>978-5-9614-8270-6</t>
  </si>
  <si>
    <t>Джарретт Кристиан</t>
  </si>
  <si>
    <t>Будь тем, кем хочешь: Наука о том, как изменить себя</t>
  </si>
  <si>
    <t>AAA2109020-P</t>
  </si>
  <si>
    <t>978-5-9614-8008-5</t>
  </si>
  <si>
    <t>Ремес Оливия</t>
  </si>
  <si>
    <t>Быстрая самотерапия: Скорая помощь при тревоге, панике и стрессе</t>
  </si>
  <si>
    <t>AAA2502211-P</t>
  </si>
  <si>
    <t>978-5-9614-8062-7</t>
  </si>
  <si>
    <t>Реннер Дайана, Д`Соуза Стивен</t>
  </si>
  <si>
    <t>Быстрая черепаха: Неделание как способ достичь цели</t>
  </si>
  <si>
    <t>AAA2205032-P</t>
  </si>
  <si>
    <t>978-5-9614-1723-4</t>
  </si>
  <si>
    <t>Демьянова Ольга</t>
  </si>
  <si>
    <t>Быстрые и эффективные шаги к цели. Практикум для тех, кто хочет изменить свою жизнь</t>
  </si>
  <si>
    <t>PGR2112071-P</t>
  </si>
  <si>
    <t>978-5-907534-57-5</t>
  </si>
  <si>
    <t>Цикунов Евгений</t>
  </si>
  <si>
    <t>В поисках Лунного зайца. Книга-практикум. Как найти свою вторую половину</t>
  </si>
  <si>
    <t>PGR2412027-P</t>
  </si>
  <si>
    <t>978-5-206-00288-1</t>
  </si>
  <si>
    <t>Варламова Дарья</t>
  </si>
  <si>
    <t>В своем уме: Как заботиться о собственной психике каждый день</t>
  </si>
  <si>
    <t>AAA2110017-P</t>
  </si>
  <si>
    <t>978-5-9614-7246-2</t>
  </si>
  <si>
    <t>Нахманович Стивен</t>
  </si>
  <si>
    <t>В состоянии потока: Импровизация в жизни и в искусстве</t>
  </si>
  <si>
    <t>AAA2312007-P</t>
  </si>
  <si>
    <t>978-5-9614-9492-1</t>
  </si>
  <si>
    <t>В тебе есть всё: Психология полноты жизни</t>
  </si>
  <si>
    <t>AAA2412231-P</t>
  </si>
  <si>
    <t>978-5-9614-9971-1</t>
  </si>
  <si>
    <t>AAA2406163-P</t>
  </si>
  <si>
    <t>978-5-9614-9970-4</t>
  </si>
  <si>
    <t>Фаулер Сьюзен</t>
  </si>
  <si>
    <t>Ваш источник мотивации: Как захотеть сделать то, что нужно</t>
  </si>
  <si>
    <t>AAA2206032-P</t>
  </si>
  <si>
    <t>978-5-9614-3333-3</t>
  </si>
  <si>
    <t>[покет-серия] Ваш источник мотивации: Как захотеть сделать то, что нужно</t>
  </si>
  <si>
    <t>AAA2404197-P</t>
  </si>
  <si>
    <t>978-5-9614-9801-1</t>
  </si>
  <si>
    <t>Боровикова Наталья</t>
  </si>
  <si>
    <t>Ведущий к цели. Практический курс для модераторов и фасилитаторов</t>
  </si>
  <si>
    <t>PGR2109125-P</t>
  </si>
  <si>
    <t>978-5-907534-31-5</t>
  </si>
  <si>
    <t>Вернуть вкус к жизни: Что делать, когда вроде все хорошо, но счастья и радости мало</t>
  </si>
  <si>
    <t>AAA2409189-P</t>
  </si>
  <si>
    <t>978-5-9614-3840-6</t>
  </si>
  <si>
    <t>Малуф Молли</t>
  </si>
  <si>
    <t>Вернуть энергию: Как наука помогает женщине сохранить молодость, здоровье и жизненную силу</t>
  </si>
  <si>
    <t>AAA2409174-P</t>
  </si>
  <si>
    <t>978-5-9614-8531-8</t>
  </si>
  <si>
    <t>Беккер Мишель</t>
  </si>
  <si>
    <t>Взаимная поддержка и любовь: Навыки гармоничного общения в паре</t>
  </si>
  <si>
    <t>AAA2312195-P</t>
  </si>
  <si>
    <t>978-5-9614-9527-0</t>
  </si>
  <si>
    <t>Сордо Пилар</t>
  </si>
  <si>
    <t>Возраст: Инструкция по применению</t>
  </si>
  <si>
    <t>AAA2312233-P</t>
  </si>
  <si>
    <t>978-5-9614-9537-9</t>
  </si>
  <si>
    <t>Кови Стивен Р.</t>
  </si>
  <si>
    <t>[обложка с клапанами] Восьмой навык: От эффективности к величию</t>
  </si>
  <si>
    <t>AAA2304152-P</t>
  </si>
  <si>
    <t>978-5-9614-6943-1</t>
  </si>
  <si>
    <t>Фрайер Дэниел</t>
  </si>
  <si>
    <t>Вредные мысли: Четыре психологические установки, которые мешают нам жить</t>
  </si>
  <si>
    <t>AAA2205016-P</t>
  </si>
  <si>
    <t>978-5-9614-4045-4</t>
  </si>
  <si>
    <t>[покет-серия] Вредные мысли: Четыре психологические установки, которые мешают нам жить</t>
  </si>
  <si>
    <t>AAA2410182-P</t>
  </si>
  <si>
    <t>978-5-9614-9126-5</t>
  </si>
  <si>
    <t>Кэмерон Донна</t>
  </si>
  <si>
    <t>Время стать добрее: Раскрыть в себе источник доброты и сделать жизнь немного лучше</t>
  </si>
  <si>
    <t>AAA2305083-P</t>
  </si>
  <si>
    <t>978-5-9614-8973-6</t>
  </si>
  <si>
    <t>Мутон Нина</t>
  </si>
  <si>
    <t>Всё начинается с заботы о себе</t>
  </si>
  <si>
    <t>Пер. с голл.</t>
  </si>
  <si>
    <t>AAA2211206-P</t>
  </si>
  <si>
    <t>978-5-9614-8477-9</t>
  </si>
  <si>
    <t>Эмерсон Клинт</t>
  </si>
  <si>
    <t>Выживание в дикой природе и экстремальных ситуациях по методике спецслужб. 100 ключевых навыков</t>
  </si>
  <si>
    <t>NNN2409198-P</t>
  </si>
  <si>
    <t>978-5-91671-791-4</t>
  </si>
  <si>
    <t>Моррисон Байрон</t>
  </si>
  <si>
    <t>Выйти из колеи: Как перестать саботировать свою жизнь</t>
  </si>
  <si>
    <t>AAA2308039-P</t>
  </si>
  <si>
    <t>978-5-9614-9162-3</t>
  </si>
  <si>
    <t>Керзон Пол, Макоуэн Питер</t>
  </si>
  <si>
    <t>Вычислительное мышление: Метод решения сложных задач</t>
  </si>
  <si>
    <t>a170908</t>
  </si>
  <si>
    <t>978-5-9614-6549-5</t>
  </si>
  <si>
    <t>Машковский Евгений</t>
  </si>
  <si>
    <t>Давай сейчас! Практические советы: как начать, закончить или продолжить любое дело</t>
  </si>
  <si>
    <t>PGR2207084-P</t>
  </si>
  <si>
    <t>978-5-206-00085-6</t>
  </si>
  <si>
    <t>Роббинс Мел</t>
  </si>
  <si>
    <t>Дай пять! Как одна простая привычка изменит вашу жизнь к лучшему</t>
  </si>
  <si>
    <t>AAA2202173-P</t>
  </si>
  <si>
    <t>978-5-9614-7823-5</t>
  </si>
  <si>
    <t>Мур Гарет, Геллерсен Хелена</t>
  </si>
  <si>
    <t>Дворец памяти: 70 задач для развития памяти</t>
  </si>
  <si>
    <t>AAA2409240-P</t>
  </si>
  <si>
    <t>978-5-9614-7821-1</t>
  </si>
  <si>
    <t>Кови Стивен Р., Кови Хэллер Синтия</t>
  </si>
  <si>
    <t>[покет-серия] Девять принципов жизни со смыслом: Менталитет крещендо</t>
  </si>
  <si>
    <t>AAA2403203-P</t>
  </si>
  <si>
    <t>978-5-9614-9719-9</t>
  </si>
  <si>
    <t>Идеи Стивена Кови</t>
  </si>
  <si>
    <t>Бакингем Маркус</t>
  </si>
  <si>
    <t>Делаю, что хочу: Как понять, что ты любишь, и работать в удовольствие</t>
  </si>
  <si>
    <t>AAA2301120-P</t>
  </si>
  <si>
    <t>978-5-9614-8641-4</t>
  </si>
  <si>
    <t>Харрисон Томас, Форестер Брент</t>
  </si>
  <si>
    <t>Деменция: Как жить, если близкий человек болен. Полное руководство по общению, помощи и уходу</t>
  </si>
  <si>
    <t>AAA2212077-P</t>
  </si>
  <si>
    <t>978-5-9614-8552-3</t>
  </si>
  <si>
    <t>Семенчук Алексей</t>
  </si>
  <si>
    <t>Держи баланс! Самоучитель по осознанному движению к счастью</t>
  </si>
  <si>
    <t>PGR2111331-P</t>
  </si>
  <si>
    <t>978-5-907534-39-1</t>
  </si>
  <si>
    <t>Эванс Дэйв, Бернетт Билл</t>
  </si>
  <si>
    <t>[покет-серия] Дизайн вашей жизни: Живите так, как нужно именно вам</t>
  </si>
  <si>
    <t>AAA2410304-P</t>
  </si>
  <si>
    <t>978-5-9614-9531-7</t>
  </si>
  <si>
    <t>Дизайн работы мечты: Как улучшить свою рабочую жизнь и быть счастливым не только в выходные</t>
  </si>
  <si>
    <t>AAA2407092-P</t>
  </si>
  <si>
    <t>978-5-0063-0012-5</t>
  </si>
  <si>
    <t>Клапес Элизабет</t>
  </si>
  <si>
    <t>Дорогая я, нам надо поговорить: Правильные вопросы для психологической разгрузки</t>
  </si>
  <si>
    <t>AAA2401127-P</t>
  </si>
  <si>
    <t>978-5-9614-9568-3</t>
  </si>
  <si>
    <t>Аткинсон Мэрилин, Чойс Рае Т.</t>
  </si>
  <si>
    <t>Достижение целей: Пошаговая система</t>
  </si>
  <si>
    <t>AAA2403024-P</t>
  </si>
  <si>
    <t>978-5-9614-9153-1</t>
  </si>
  <si>
    <t>Трансформационный коучинг: наука и искусство</t>
  </si>
  <si>
    <t>Нечаева Ольга</t>
  </si>
  <si>
    <t>Женщина с Марса: Искусство жить собой</t>
  </si>
  <si>
    <t>AAA2009083-P</t>
  </si>
  <si>
    <t>978-5-9614-4047-8</t>
  </si>
  <si>
    <t>Аткинсон Мэрилин</t>
  </si>
  <si>
    <t>Жизнь в потоке: Коучинг</t>
  </si>
  <si>
    <t>AAA2503053-P</t>
  </si>
  <si>
    <t>978-5-9614-8538-7</t>
  </si>
  <si>
    <t>Хидекель Марина</t>
  </si>
  <si>
    <t>Жизнь в ресурсе: Как справиться с эмоциональным выгоранием</t>
  </si>
  <si>
    <t>AAA2304157-P</t>
  </si>
  <si>
    <t>978-5-9614-7860-0</t>
  </si>
  <si>
    <t>Зэйферт Клаудиа, Девива Джейсон</t>
  </si>
  <si>
    <t>Жизнь после травмы: Как помочь близкому с посттравматическим стрессовым расстройством</t>
  </si>
  <si>
    <t>AAA2211271-P</t>
  </si>
  <si>
    <t>978-5-9614-8514-1</t>
  </si>
  <si>
    <t>Абдаал Али</t>
  </si>
  <si>
    <t>Жизнь, игра и продуктивность: Как сфокусироваться на важном и делать это с удовольствием</t>
  </si>
  <si>
    <t>AAA2202017-P</t>
  </si>
  <si>
    <t>978-5-9614-9831-8</t>
  </si>
  <si>
    <t>Беннет Майкл, Беннет Сара</t>
  </si>
  <si>
    <t>Забей на любовь! Руководство по рациональному выбору партнера</t>
  </si>
  <si>
    <t>AAA1809098-P</t>
  </si>
  <si>
    <t>978-5-9614-6513-6</t>
  </si>
  <si>
    <t>Здоровая самооценка: 10 шагов к уверенности в себе</t>
  </si>
  <si>
    <t>AAA2409170-P</t>
  </si>
  <si>
    <t>978-5-9614-8773-2</t>
  </si>
  <si>
    <t>Дулепина Ольга</t>
  </si>
  <si>
    <t>Здоровые отношения: Почему так трудно просто любить друг друга</t>
  </si>
  <si>
    <t>AAA2412019-P</t>
  </si>
  <si>
    <t>978-5-9614-9040-4</t>
  </si>
  <si>
    <t>[покет-серия] Идеальный порядок за 8 минут: Легкие решения для упрощения жизни и высвобождения времени</t>
  </si>
  <si>
    <t>AAA2304185-P</t>
  </si>
  <si>
    <t>978-5-9614-8945-3</t>
  </si>
  <si>
    <t>Зотимова Алиса</t>
  </si>
  <si>
    <t>Из Москвы в Лондон. Заметки о счастье и бизнесе</t>
  </si>
  <si>
    <t>LGA2105007-P</t>
  </si>
  <si>
    <t>978-5-907470-01-9</t>
  </si>
  <si>
    <t>Белашева Ирина, Мужицкая Татьяна</t>
  </si>
  <si>
    <t>[покет-серия] Измени жизнь, оставаясь собой: Личный ребрендинг</t>
  </si>
  <si>
    <t>AAA2501235-P</t>
  </si>
  <si>
    <t>978-5-9614-8504-2</t>
  </si>
  <si>
    <t>Брегман Питер, Джейкобсон Хауи</t>
  </si>
  <si>
    <t>Изменить других можно! Как помочь сотрудникам, друзьям и любимым расти и развиваться</t>
  </si>
  <si>
    <t>AAA2112041-P</t>
  </si>
  <si>
    <t>978-5-9614-8048-1</t>
  </si>
  <si>
    <t>Макарушкина Мария</t>
  </si>
  <si>
    <t>[покет-серия] Интервью с самим собой: Индивидуальный ассесмент как инструмент самоанализа руководителя</t>
  </si>
  <si>
    <t>AAA2311235-P</t>
  </si>
  <si>
    <t>978-5-9614-8505-9</t>
  </si>
  <si>
    <t>Иванова Мария</t>
  </si>
  <si>
    <t>Искусство внутренней свободы: Живи по своим правилам</t>
  </si>
  <si>
    <t>PGA2109188-P</t>
  </si>
  <si>
    <t>978-5-907534-03-2</t>
  </si>
  <si>
    <t>История искусства для развития навыков будущего: Девять уроков от Рафаэля, Пикассо, Врубеля и других великих художников</t>
  </si>
  <si>
    <t>AAA2406022-P</t>
  </si>
  <si>
    <t>978-5-9614-9907-0</t>
  </si>
  <si>
    <t>Исцеляющие беседы: Как выстраивать разговор, чтобы помочь близкому человеку</t>
  </si>
  <si>
    <t>AAA2412041-P</t>
  </si>
  <si>
    <t>978-5-9614-8893-7</t>
  </si>
  <si>
    <t>Кови Шон, Хьюлинг Джим, Макчесни Крис</t>
  </si>
  <si>
    <t>Как достичь цели: Четыре дисциплины исполнения</t>
  </si>
  <si>
    <t>AAA2503042-P</t>
  </si>
  <si>
    <t>978-5-9614-6120-6</t>
  </si>
  <si>
    <t>Сиверс Дерек</t>
  </si>
  <si>
    <t>Как жить: 27 противоречивых ответов и один странный вопрос</t>
  </si>
  <si>
    <t>AAA2307179-P</t>
  </si>
  <si>
    <t>978-5-9614-9145-6</t>
  </si>
  <si>
    <t>Бозер Ульрих</t>
  </si>
  <si>
    <t>Как научиться учиться: Навыки осознанного усвоения знаний</t>
  </si>
  <si>
    <t>AAA2502138-P</t>
  </si>
  <si>
    <t>978-5-9614-3225-1</t>
  </si>
  <si>
    <t>20.02.2025</t>
  </si>
  <si>
    <t>Хорикова Екатерина</t>
  </si>
  <si>
    <t>Как начать жить и не облажаться</t>
  </si>
  <si>
    <t>a170221</t>
  </si>
  <si>
    <t>978-5-9614-5915-9</t>
  </si>
  <si>
    <t>Эннесли Майк</t>
  </si>
  <si>
    <t>[покет-серия] Как общаться с трудными людьми: Слышать, понимать, договариваться и справляться с эмоциями</t>
  </si>
  <si>
    <t>AAA2410027-P</t>
  </si>
  <si>
    <t>978-5-9614-9211-8</t>
  </si>
  <si>
    <t>Меркурьева Алёна</t>
  </si>
  <si>
    <t>Как правильно? Пишем и говорим без ошибок</t>
  </si>
  <si>
    <t>AAA2502209-P</t>
  </si>
  <si>
    <t>978-5-9614-8136-5</t>
  </si>
  <si>
    <t>Как справляться с трудными ситуациями: Стресс, тревога, перемены, кризис, проблемы в отношениях</t>
  </si>
  <si>
    <t>AAA2209161-P</t>
  </si>
  <si>
    <t>978-5-9614-8340-6</t>
  </si>
  <si>
    <t>Морозов Игорь, Айсина Оксана</t>
  </si>
  <si>
    <t>Карьера? Легко! Невредные советы, как найти свою вершину и покорить ее</t>
  </si>
  <si>
    <t>PGR2209151-P</t>
  </si>
  <si>
    <t>978-5-206-00114-3</t>
  </si>
  <si>
    <t>Тран Эми</t>
  </si>
  <si>
    <t>Книга любви к себе: Терапевтическая стратегия поддержки и принятия себя</t>
  </si>
  <si>
    <t>AAA2411205-P</t>
  </si>
  <si>
    <t>978-5-9614-9012-1</t>
  </si>
  <si>
    <t>Кимси-Хаус Карен, Кимси-Хаус Генри, Сандал Филлип, Уитворт Лаура</t>
  </si>
  <si>
    <t>Коактивный коучинг: Проверенные принципы личностного и профессионального роста</t>
  </si>
  <si>
    <t>AAA2311037-P</t>
  </si>
  <si>
    <t>978-5-9614-2827-8</t>
  </si>
  <si>
    <t>Елфимова Елена</t>
  </si>
  <si>
    <t>Кризисы личных отношений: Как распознать и преодолеть</t>
  </si>
  <si>
    <t>PGR2412130-P</t>
  </si>
  <si>
    <t>978-5-907274-76-1</t>
  </si>
  <si>
    <t>24.01.2025</t>
  </si>
  <si>
    <t>Чатфилд Том</t>
  </si>
  <si>
    <t>Критическое мышление: Анализируй, сомневайся, формируй свое мнение</t>
  </si>
  <si>
    <t>AAA2409184-P</t>
  </si>
  <si>
    <t>978-5-9614-2081-4</t>
  </si>
  <si>
    <t>Нубер Урсула</t>
  </si>
  <si>
    <t>Кто я без тебя? Почему женщины чаще страдают депрессией и как находят себя</t>
  </si>
  <si>
    <t>AAA2009046-P</t>
  </si>
  <si>
    <t>978-5-9614-7318-6</t>
  </si>
  <si>
    <t>[покет-серия] Лучше каждый день: 127 полезных привычек для здоровья, счастья и успеха</t>
  </si>
  <si>
    <t>AAA2306045-P</t>
  </si>
  <si>
    <t>978-5-9614-9017-6</t>
  </si>
  <si>
    <t>Коупли Лора</t>
  </si>
  <si>
    <t>Любить — не больно: Как залечить травмы прошлого и построить гармоничные отношения</t>
  </si>
  <si>
    <t>AAA2308185-P</t>
  </si>
  <si>
    <t>978-5-9614-9212-5</t>
  </si>
  <si>
    <t>Лоу Джанет</t>
  </si>
  <si>
    <t>Майкл Джордан: Уроки чемпиона</t>
  </si>
  <si>
    <t>PGR2501100-P</t>
  </si>
  <si>
    <t>978-5-907394-52-0</t>
  </si>
  <si>
    <t>Мастерство жизни: Внутренняя динамика развития</t>
  </si>
  <si>
    <t>AAA2501154-P</t>
  </si>
  <si>
    <t>978-5-9614-8686-5</t>
  </si>
  <si>
    <t>Кукла Андре</t>
  </si>
  <si>
    <t>[покет-серия] Ментальные ловушки: Глупости, которые делают разумные люди, чтобы испортить себе жизнь</t>
  </si>
  <si>
    <t>AAA2409243-P</t>
  </si>
  <si>
    <t>978-5-9614-8724-4</t>
  </si>
  <si>
    <t>Киселев Максим</t>
  </si>
  <si>
    <t>[покет-серия] Ментальные привычки критически мыслящего человека</t>
  </si>
  <si>
    <t>AAA2403076-P</t>
  </si>
  <si>
    <t>978-5-9614-9687-1</t>
  </si>
  <si>
    <t>Хранеко Вероника</t>
  </si>
  <si>
    <t>Меньше слов. Как управлять диалогом и раскрыть любого собеседника</t>
  </si>
  <si>
    <t>PGR2412134-P</t>
  </si>
  <si>
    <t>978-5-206-00119-8</t>
  </si>
  <si>
    <t>Чубаров Владислав</t>
  </si>
  <si>
    <t>Меня всё бесит! Как преобразовать гнев в созидательную энергию</t>
  </si>
  <si>
    <t>AAA2502033-P</t>
  </si>
  <si>
    <t>978-5-9614-9791-5</t>
  </si>
  <si>
    <t>Твиггер Роберт</t>
  </si>
  <si>
    <t>Микро-мастер-классы: Как освоить максимум интересного быстро и легко</t>
  </si>
  <si>
    <t>a180311</t>
  </si>
  <si>
    <t>978-5-9614-6610-2</t>
  </si>
  <si>
    <t>Нисбетт Ричард</t>
  </si>
  <si>
    <t>[покет-серия] Мозгоускорители: Как научиться эффективно мыслить, используя приемы из разных наук</t>
  </si>
  <si>
    <t>AAA2310273-P</t>
  </si>
  <si>
    <t>978-5-9614-9424-2</t>
  </si>
  <si>
    <t>Бэйли Крис</t>
  </si>
  <si>
    <t>Мой продуктивный год: Как я проверил самые известные методики личной эффективности на себе</t>
  </si>
  <si>
    <t>AAA2410022-P</t>
  </si>
  <si>
    <t>978-5-9614-6059-9</t>
  </si>
  <si>
    <t>Рамирес Леффлер Патрисия</t>
  </si>
  <si>
    <t>Мой спокойный год: Техники для приведения в порядок своих чувств, мыслей и поступков</t>
  </si>
  <si>
    <t>AAA2401142-P</t>
  </si>
  <si>
    <t>978-5-9614-9572-0</t>
  </si>
  <si>
    <t>Моя внутренняя сила: Как не бояться рассчитывать на себя</t>
  </si>
  <si>
    <t>AAA2401141-P</t>
  </si>
  <si>
    <t>978-5-9614-9571-3</t>
  </si>
  <si>
    <t>04.02.2025</t>
  </si>
  <si>
    <t>Завьялова  Даша</t>
  </si>
  <si>
    <t>[покет-серия] Мы живем на Сатурне: Как помочь человеку с пограничным расстройством личности</t>
  </si>
  <si>
    <t>AAA2401122-P</t>
  </si>
  <si>
    <t>978-5-9614-9565-2</t>
  </si>
  <si>
    <t>Наука о здоровье</t>
  </si>
  <si>
    <t>Колризер Джордж</t>
  </si>
  <si>
    <t>[покет-серия] Найти выход: Как сохранить самообладание и выбраться из тупиковой ситуации</t>
  </si>
  <si>
    <t>AAA2401057-P</t>
  </si>
  <si>
    <t>978-5-9614-9551-5</t>
  </si>
  <si>
    <t>Кроль Леонид</t>
  </si>
  <si>
    <t>Найти себя: Как осознать свои истинные желания и стать счастливее</t>
  </si>
  <si>
    <t>AAA2412273-P</t>
  </si>
  <si>
    <t>978-5-9614-6312-5</t>
  </si>
  <si>
    <t>Эллот Кристен, Дуарте Наташа</t>
  </si>
  <si>
    <t>Не корми свою тревогу: Как питание влияет на наше настроение</t>
  </si>
  <si>
    <t>AAA2407008-P</t>
  </si>
  <si>
    <t>978-5-9614-9988-9</t>
  </si>
  <si>
    <t>Бегли Шэрон</t>
  </si>
  <si>
    <t>[покет-серия] Не могу остановиться: откуда берутся навязчивые состояния и как от них избавиться</t>
  </si>
  <si>
    <t>NNN2403239-P</t>
  </si>
  <si>
    <t>978-5-00223-327-4</t>
  </si>
  <si>
    <t>Усов Михаил</t>
  </si>
  <si>
    <t>Невидимый клоун: Как не бояться быть собой</t>
  </si>
  <si>
    <t>AAA2005064-P</t>
  </si>
  <si>
    <t>978-5-9614-3670-9</t>
  </si>
  <si>
    <t>Канова Лучано</t>
  </si>
  <si>
    <t>Невидимый слон: Как не попадать в ментальные ловушки</t>
  </si>
  <si>
    <t>AAA2312182-P</t>
  </si>
  <si>
    <t>978-5-9614-9520-1</t>
  </si>
  <si>
    <t>02.02.2025</t>
  </si>
  <si>
    <t>Ампе Петер, Раммант Эмили</t>
  </si>
  <si>
    <t>Нейроотличные: Как жить, используя сильные стороны ваших ментальных особенностей</t>
  </si>
  <si>
    <t>AAA2410296-P</t>
  </si>
  <si>
    <t>978-5-9614-9023-7</t>
  </si>
  <si>
    <t>Нелюбимая дочь: вопросы и ответы</t>
  </si>
  <si>
    <t>NNN2412219-P</t>
  </si>
  <si>
    <t>978-5-00139-251-4</t>
  </si>
  <si>
    <t>17.02.2025</t>
  </si>
  <si>
    <t>Эстеп Ричард</t>
  </si>
  <si>
    <t>Никто не поможет: Подробности преступлений 40 самых опасных маньяков в истории</t>
  </si>
  <si>
    <t>AAA2310140-P</t>
  </si>
  <si>
    <t>978-5-9614-9359-7</t>
  </si>
  <si>
    <t>Общение с пожилыми родителями: Как сохранить любовь и терпение</t>
  </si>
  <si>
    <t>AAA2408076-P</t>
  </si>
  <si>
    <t>978-5-9614-8244-7</t>
  </si>
  <si>
    <t>Белят Алина</t>
  </si>
  <si>
    <t>Одно расстройство: Как жить с ментальными особенностями</t>
  </si>
  <si>
    <t>AAA2104074-P</t>
  </si>
  <si>
    <t>978-5-9614-7388-9</t>
  </si>
  <si>
    <t>Ламберти Уиллиам</t>
  </si>
  <si>
    <t>Оранжада. Место под Солнцем. Метафорическая сказка, которая открывает новые смысловые грани жизни</t>
  </si>
  <si>
    <t>PGR2304137-P</t>
  </si>
  <si>
    <t>978-5-206-00215-7</t>
  </si>
  <si>
    <t>Геращенко (Герн) Наталья</t>
  </si>
  <si>
    <t>Осмысленно, творчески, счастливо. Как понять, чего хочешь, и жить так, как мечтаешь</t>
  </si>
  <si>
    <t>PGR2207040-P</t>
  </si>
  <si>
    <t>978-5-206-00081-8</t>
  </si>
  <si>
    <t>Чейлефф Айра</t>
  </si>
  <si>
    <t>[покет-серия] Осознанное неподчинение: Как реагировать на спорные распоряжения</t>
  </si>
  <si>
    <t>AAA2308068-P</t>
  </si>
  <si>
    <t>978-5-9614-8944-6</t>
  </si>
  <si>
    <t>Лестер Джейми</t>
  </si>
  <si>
    <t>Остановись и подумай: Идеи и стратегии, помогающие принимать верные решения</t>
  </si>
  <si>
    <t>AAA2402014-P</t>
  </si>
  <si>
    <t>978-5-9614-9603-1</t>
  </si>
  <si>
    <t>Бурго Джозеф</t>
  </si>
  <si>
    <t>[покет-серия] Осторожно, нарцисс! Как жить и работать с этими самовлюбленными типами</t>
  </si>
  <si>
    <t>AAA2404126-P</t>
  </si>
  <si>
    <t>978-5-9614-9786-1</t>
  </si>
  <si>
    <t>От всего сердца: Как слушать, поддерживать, утешать и не растратить себя</t>
  </si>
  <si>
    <t>AAA2503054-P</t>
  </si>
  <si>
    <t>978-5-9614-8588-2</t>
  </si>
  <si>
    <t>Швец Владимир</t>
  </si>
  <si>
    <t>От джуна до сеньора: Как стать востребованным разработчиком</t>
  </si>
  <si>
    <t>AAA2207119-P</t>
  </si>
  <si>
    <t>978-5-9614-8233-1</t>
  </si>
  <si>
    <t>Гюнеш Адем</t>
  </si>
  <si>
    <t>Отпустить и расслабиться: Как не давать гневу, страху и другим негативным чувствам выбивать вас из колеи</t>
  </si>
  <si>
    <t>Пер. с тур.</t>
  </si>
  <si>
    <t>AAA2305069-P</t>
  </si>
  <si>
    <t>978-5-9614-8970-5</t>
  </si>
  <si>
    <t>Кауфман Скотт, Файнгольд Джордин</t>
  </si>
  <si>
    <t>Пересобрать себя: Как восстановиться после психологической травмы и стать сильнее</t>
  </si>
  <si>
    <t>AAA2211122-P</t>
  </si>
  <si>
    <t>978-5-9614-8455-7</t>
  </si>
  <si>
    <t>Исаев Иван</t>
  </si>
  <si>
    <t>Перестань работать и начни зарабатывать. 10 секретов, как выжать максимум из каждой минуты</t>
  </si>
  <si>
    <t>PGR2307096-P</t>
  </si>
  <si>
    <t>978-5-206-00250-8</t>
  </si>
  <si>
    <t>Людвиг Петр</t>
  </si>
  <si>
    <t>[покет-серия] Победи прокрастинацию! Как перестать откладывать дела на завтра</t>
  </si>
  <si>
    <t>AAA2407025-P</t>
  </si>
  <si>
    <t>978-5-9614-9993-3</t>
  </si>
  <si>
    <t>13.02.2025</t>
  </si>
  <si>
    <t>Погружение в себя: Как понять, почему мы думаем одно, чувствуем другое, а поступаем как всегда</t>
  </si>
  <si>
    <t>AAA2410272-P</t>
  </si>
  <si>
    <t>978-5-9614-2834-6</t>
  </si>
  <si>
    <t>[покет-серия] Позитивная иррациональность: Как извлекать выгоду из своих нелогичных поступков</t>
  </si>
  <si>
    <t>AAA2410292-P</t>
  </si>
  <si>
    <t>978-5-9614-8663-6</t>
  </si>
  <si>
    <t>15.01.2025</t>
  </si>
  <si>
    <t>Бутман Николас</t>
  </si>
  <si>
    <t>Понравиться за 90 секунд: Как завоевать внимание и расположить к себе</t>
  </si>
  <si>
    <t>AAA2502149-P</t>
  </si>
  <si>
    <t>978-5-9614-8736-7</t>
  </si>
  <si>
    <t>Романина Инна</t>
  </si>
  <si>
    <t>Понять себя и других: Психологические знания, которые нужны каждому человеку</t>
  </si>
  <si>
    <t>AAA2404082-P</t>
  </si>
  <si>
    <t>978-5-9614-9768-7</t>
  </si>
  <si>
    <t>21.02.2025</t>
  </si>
  <si>
    <t>Сентис Викран</t>
  </si>
  <si>
    <t>Почему мы ссоримся с любимыми и как построить здоровые отношения без обид</t>
  </si>
  <si>
    <t>AAA2302012-P</t>
  </si>
  <si>
    <t>978-5-9614-8660-5</t>
  </si>
  <si>
    <t>Крегер Отто, Тьюсен Джанет</t>
  </si>
  <si>
    <t>Почему мы такие? 16 типов личности, определяющих, как мы живём, работаем и любим</t>
  </si>
  <si>
    <t>AAA2410295-P</t>
  </si>
  <si>
    <t>978-5-9614-5161-0</t>
  </si>
  <si>
    <t>16.01.2025</t>
  </si>
  <si>
    <t>Томилова Анастасия</t>
  </si>
  <si>
    <t>Почему я не худею: Дело не в диете, дело – в голове</t>
  </si>
  <si>
    <t>AAA2411136-P</t>
  </si>
  <si>
    <t>978-5-9614-8137-2</t>
  </si>
  <si>
    <t>[покет-серия] Правила достижения цели: Как получать то, что хочешь</t>
  </si>
  <si>
    <t>NNN2212080-P</t>
  </si>
  <si>
    <t>978-5-00139-923-0</t>
  </si>
  <si>
    <t>Правила Темплара</t>
  </si>
  <si>
    <t>[покет-серия] Правила карьеры: Все, что нужно для служебного роста</t>
  </si>
  <si>
    <t>AAA2212091-P</t>
  </si>
  <si>
    <t>978-5-9614-8556-1</t>
  </si>
  <si>
    <t>Правила мышления: Как найти свой путь к осознанности и счастью</t>
  </si>
  <si>
    <t>AAA2104091-P</t>
  </si>
  <si>
    <t>978-5-9614-7231-8</t>
  </si>
  <si>
    <t>[покет-серия] Правила мышления: Как найти свой путь к осознанности и счастью</t>
  </si>
  <si>
    <t>AAA2212089-P</t>
  </si>
  <si>
    <t>978-5-9614-8554-7</t>
  </si>
  <si>
    <t>Стоун Роджер</t>
  </si>
  <si>
    <t>Правила Стоуна: Как преуспеть в бизнесе, политике и жизни</t>
  </si>
  <si>
    <t>AAA1806017-P</t>
  </si>
  <si>
    <t>978-5-9614-2376-1</t>
  </si>
  <si>
    <t>[покет-серия] Правила, которые стоит нарушать</t>
  </si>
  <si>
    <t>AAA2212088-P</t>
  </si>
  <si>
    <t>978-5-9614-8551-6</t>
  </si>
  <si>
    <t>Привязанность и сепарация: Как выбирать себя, а не родителей, если вы уже выросли</t>
  </si>
  <si>
    <t>AAA2502148-P</t>
  </si>
  <si>
    <t>978-5-9614-4839-9</t>
  </si>
  <si>
    <t>Холт Кэтрин</t>
  </si>
  <si>
    <t>Принимай свое тело и его особенности: Работа с эмоциями, триггерами, комплексами, прошлым опытом</t>
  </si>
  <si>
    <t>AAA2407009-P</t>
  </si>
  <si>
    <t>978-5-9614-9989-6</t>
  </si>
  <si>
    <t>Рязанцев Александр</t>
  </si>
  <si>
    <t>[покет-серия] Принять и пережить потерю, горе, утрату: Как научиться снова радоваться жизни</t>
  </si>
  <si>
    <t>AAA2403027-P</t>
  </si>
  <si>
    <t>978-5-9614-9673-4</t>
  </si>
  <si>
    <t>Оманд  Дэвид</t>
  </si>
  <si>
    <t>Прицельное мышление: Принятие решений по методикам британских спецслужб</t>
  </si>
  <si>
    <t>AAA2205015-P</t>
  </si>
  <si>
    <t>978-5-9614-4172-7</t>
  </si>
  <si>
    <t>[покет-серия] Прицельное мышление: Принятие решений по методикам британских спецслужб</t>
  </si>
  <si>
    <t>AAA2404060-P</t>
  </si>
  <si>
    <t>978-5-9614-9766-3</t>
  </si>
  <si>
    <t>Бриджес Уильям, Бриджес Сьюзен</t>
  </si>
  <si>
    <t>[покет-серия] Пройти через: Книга, которая поможет пережить перемены</t>
  </si>
  <si>
    <t>AAA2310201-P</t>
  </si>
  <si>
    <t>978-5-9614-9387-0</t>
  </si>
  <si>
    <t>Сасаки Фумио</t>
  </si>
  <si>
    <t>Прощайте, вещи! Новый японский минимализм</t>
  </si>
  <si>
    <t>AAA2410298-P</t>
  </si>
  <si>
    <t>978-5-9614-7847-1</t>
  </si>
  <si>
    <t>Пезешкиан Хамид , Фойгт Конни</t>
  </si>
  <si>
    <t>[покет-серия] Психовампиры: Как общаться с теми, кто крадет у нас энергию</t>
  </si>
  <si>
    <t>AAA2310010-P</t>
  </si>
  <si>
    <t>978-5-9614-9315-3</t>
  </si>
  <si>
    <t>Хорган Джон</t>
  </si>
  <si>
    <t>Психология террориста: Почему люди начинают убивать ради идеи</t>
  </si>
  <si>
    <t>AAA2502225-P</t>
  </si>
  <si>
    <t>978-5-9614-9494-5</t>
  </si>
  <si>
    <t>Бахим Саша</t>
  </si>
  <si>
    <t>Психотерапия на каждый день: 100 техник для счастливой и спокойной жизни</t>
  </si>
  <si>
    <t>AAA2411210-P</t>
  </si>
  <si>
    <t>978-5-9614-8525-7</t>
  </si>
  <si>
    <t>Мэй Ле Йен</t>
  </si>
  <si>
    <t>Путешествие на восходе солнца: 15 японских концепций жизни</t>
  </si>
  <si>
    <t>AAA2410181-P</t>
  </si>
  <si>
    <t>978-5-9614-8375-8</t>
  </si>
  <si>
    <t>Путь к изменению: Трансформационные метафоры</t>
  </si>
  <si>
    <t>AAA2501166-P</t>
  </si>
  <si>
    <t>978-5-9614-8563-9</t>
  </si>
  <si>
    <t>Кауфман Скотт</t>
  </si>
  <si>
    <t>Путь к самоактуализации: Как раздвинуть границы своих возможностей. Новое понимание иерархии потребностей Маслоу</t>
  </si>
  <si>
    <t>AAA1911070-P</t>
  </si>
  <si>
    <t>978-5-9614-7382-7</t>
  </si>
  <si>
    <t>Уильямс Риса</t>
  </si>
  <si>
    <t>Разберись с тревогой: Книга-практикум от клинического психолога</t>
  </si>
  <si>
    <t>AAA2104052-P</t>
  </si>
  <si>
    <t>978-5-9614-7457-2</t>
  </si>
  <si>
    <t>Эмпатика Эмпатика</t>
  </si>
  <si>
    <t>Развитие памяти по методикам спецслужб</t>
  </si>
  <si>
    <t>AAA2410099-P</t>
  </si>
  <si>
    <t>978-5-9614-6241-8</t>
  </si>
  <si>
    <t>Дергунова Виктория</t>
  </si>
  <si>
    <t>Разводный мост: Как сохранить отношения с ребенком, если вы решили развестись</t>
  </si>
  <si>
    <t>PGR2206022-P</t>
  </si>
  <si>
    <t>978-5-206-00070-2</t>
  </si>
  <si>
    <t>Саидов Михаил</t>
  </si>
  <si>
    <t>Разговоры, которые меняют жизнь: Техники экспоненциального коучинга</t>
  </si>
  <si>
    <t>AAA2410282-P</t>
  </si>
  <si>
    <t>978-5-9614-4115-4</t>
  </si>
  <si>
    <t>Колен Катрин</t>
  </si>
  <si>
    <t>Ребенок всё изменит: Как сохранить любовь на новом этапе семейной жизни</t>
  </si>
  <si>
    <t>AAA2312129-P</t>
  </si>
  <si>
    <t>978-5-9614-9509-6</t>
  </si>
  <si>
    <t>Сигитова Екатерина</t>
  </si>
  <si>
    <t>Рецепт счастья: Принимайте себя три раза в день</t>
  </si>
  <si>
    <t>AAA2304021-P</t>
  </si>
  <si>
    <t>978-5-9614-2574-1</t>
  </si>
  <si>
    <t>Варламова Дарья, Зайниев Антон</t>
  </si>
  <si>
    <t>С ума сойти! Путеводитель по психическим расстройствам для жителя большого города (новое, дополненное издание)</t>
  </si>
  <si>
    <t>AAA2312023-P</t>
  </si>
  <si>
    <t>978-5-9614-4275-5</t>
  </si>
  <si>
    <t>Семь навыков высокоэффективных людей. Мощные инструменты развития личности. Краткая версия</t>
  </si>
  <si>
    <t>AAA2406029-P</t>
  </si>
  <si>
    <t>978-5-9614-8943-9</t>
  </si>
  <si>
    <t>[покет-серия] Семь навыков эффективных менеджеров: Самоорганизация, лидерство, раскрытие потенциала</t>
  </si>
  <si>
    <t>AAA2402162-P</t>
  </si>
  <si>
    <t>978-5-9614-9643-7</t>
  </si>
  <si>
    <t>Давыдова Екатерина</t>
  </si>
  <si>
    <t>Сила архетипов: Как работа с бессознательным помогает изменить жизнь и обрести смысл</t>
  </si>
  <si>
    <t>AAA2501153-P</t>
  </si>
  <si>
    <t>978-5-9614-8981-1</t>
  </si>
  <si>
    <t>Рот Боб</t>
  </si>
  <si>
    <t>Сила в спокойствии: Достижение гармонии с помощью трансцендентальной медитации</t>
  </si>
  <si>
    <t>PGR2410068-P</t>
  </si>
  <si>
    <t>978-5-907394-64-3</t>
  </si>
  <si>
    <t>Сила кризиса: Личностная трансформация и новые возможности в трудные времена</t>
  </si>
  <si>
    <t>AAA2204030-P</t>
  </si>
  <si>
    <t>978-5-9614-7911-9</t>
  </si>
  <si>
    <t>Пинк Дэниел</t>
  </si>
  <si>
    <t>Сила сожалений: Как взгляд назад помогает нам идти вперед</t>
  </si>
  <si>
    <t>AAA2112008-P</t>
  </si>
  <si>
    <t>978-5-9614-7674-3</t>
  </si>
  <si>
    <t>Суворов Александр</t>
  </si>
  <si>
    <t>Система счастья: Практическое руководство по тренировке счастья</t>
  </si>
  <si>
    <t>AAA2104071-P</t>
  </si>
  <si>
    <t>978-5-9614-7391-9</t>
  </si>
  <si>
    <t>Кови мл. Стивен, Меррилл Ребекка</t>
  </si>
  <si>
    <t>Скорость доверия. То, что меняет все</t>
  </si>
  <si>
    <t>AAA2502216-P</t>
  </si>
  <si>
    <t>978-5-9614-6768-0</t>
  </si>
  <si>
    <t>Ахола Анджела</t>
  </si>
  <si>
    <t>[покет-серия] Скрытые мотивы: Истинные причины нашего поведения</t>
  </si>
  <si>
    <t>AAA2311241-P</t>
  </si>
  <si>
    <t>978-5-9614-9479-2</t>
  </si>
  <si>
    <t>[обложка] Скучаю по тебе: Как пережить боль расставания, восстановить отношения или отпустить</t>
  </si>
  <si>
    <t>AAA2409245-P</t>
  </si>
  <si>
    <t>978-5-9614-8501-1</t>
  </si>
  <si>
    <t>Фоер Елена, Рамзаева Мария</t>
  </si>
  <si>
    <t>Смерть в большом городе: Почему мы так боимся умереть и как с этим жить</t>
  </si>
  <si>
    <t>AAA2104178-P</t>
  </si>
  <si>
    <t>978-5-9614-8891-3</t>
  </si>
  <si>
    <t>Кисельникова  Наталья</t>
  </si>
  <si>
    <t>Со мной все в порядке: Доказательная психология для ментального здоровья</t>
  </si>
  <si>
    <t>AAA2502140-P</t>
  </si>
  <si>
    <t>978-5-9614-9398-6</t>
  </si>
  <si>
    <t>Совершенство, которое мешает жить:  Кто такие нарциссы, как их понять и что делать, если нарцисс – это вы</t>
  </si>
  <si>
    <t>AAA2302094-P</t>
  </si>
  <si>
    <t>978-5-9614-8690-2</t>
  </si>
  <si>
    <t>Васкес Маркос</t>
  </si>
  <si>
    <t>Стоики побеждают: Ментальные тренировки для преодоления жизненных трудностей</t>
  </si>
  <si>
    <t>AAA2404008-P</t>
  </si>
  <si>
    <t>978-5-9614-7853-2</t>
  </si>
  <si>
    <t>Страх близости: Как перестать защищаться и начать любить</t>
  </si>
  <si>
    <t>AAA2411202-P</t>
  </si>
  <si>
    <t>978-5-9614-9008-4</t>
  </si>
  <si>
    <t>Долан Пол</t>
  </si>
  <si>
    <t>Счастливы когда-нибудь: Почему не надо верить мифам об идеальной жизни</t>
  </si>
  <si>
    <t>AAA1904112-P</t>
  </si>
  <si>
    <t>978-5-9614-2540-6</t>
  </si>
  <si>
    <t>Кови Стивен Р., Кови Джон, Кови Сандра, Кови Джейн</t>
  </si>
  <si>
    <t>Счастливый союз: Семь навыков высокоэффективных пар</t>
  </si>
  <si>
    <t>AAA2410128-P</t>
  </si>
  <si>
    <t>978-5-9614-4197-0</t>
  </si>
  <si>
    <t>Таинственный лес: Как диалог с бессознательным помогает выйти из жизненного тупика</t>
  </si>
  <si>
    <t>AAA2503090-P</t>
  </si>
  <si>
    <t>978-5-0063-0345-4</t>
  </si>
  <si>
    <t>Архангельский Глеб, Бехтерев Сергей, Лукашенко Марианна, Телегина Татьяна</t>
  </si>
  <si>
    <t>[покет-серия] Тайм-менеджмент: Полный курс</t>
  </si>
  <si>
    <t>AAA2409179-P</t>
  </si>
  <si>
    <t>978-5-9614-8503-5</t>
  </si>
  <si>
    <t>Тайм-менеджмента нет: Психология дружбы со временем</t>
  </si>
  <si>
    <t>AAA2103003-P</t>
  </si>
  <si>
    <t>978-5-9614-4141-3</t>
  </si>
  <si>
    <t>Погребняк Анна</t>
  </si>
  <si>
    <t>Тирания тревоги: Как избавиться от тревожности и беспокойства</t>
  </si>
  <si>
    <t>AAA2004105-P</t>
  </si>
  <si>
    <t>978-5-9614-3617-4</t>
  </si>
  <si>
    <t>Фаер Сергей</t>
  </si>
  <si>
    <t>[покет-серия] Траблшутинг: Как решать нерешаемые задачи, посмотрев на проблему с другой стороны</t>
  </si>
  <si>
    <t>AAA2410100-P</t>
  </si>
  <si>
    <t>978-5-9614-8994-1</t>
  </si>
  <si>
    <t>Садреева Диана</t>
  </si>
  <si>
    <t>Ты не виновата: Почему домашнее насилие — это не про любовь</t>
  </si>
  <si>
    <t>AAA2009087-P</t>
  </si>
  <si>
    <t>978-5-9614-2584-0</t>
  </si>
  <si>
    <t>Льюис Дэвид</t>
  </si>
  <si>
    <t>Управление стрессом : Как найти дополнительные 10 часов в неделю</t>
  </si>
  <si>
    <t>PGR2501083-P</t>
  </si>
  <si>
    <t>978-5-907394-12-4</t>
  </si>
  <si>
    <t>Стурдален Петтер А., Иле Уле-Мартин</t>
  </si>
  <si>
    <t>Ура, понедельник! 10 правил для жизни с драйвом</t>
  </si>
  <si>
    <t>AAA2101039-P</t>
  </si>
  <si>
    <t>978-5-9614-5892-3</t>
  </si>
  <si>
    <t>Лакшмин Пуджа</t>
  </si>
  <si>
    <t>Услышать себя: Психологическая устойчивость без внешней помощи</t>
  </si>
  <si>
    <t>AAA2301007-P</t>
  </si>
  <si>
    <t>978-5-9614-8604-9</t>
  </si>
  <si>
    <t>Барабаши Альберт-Ласло</t>
  </si>
  <si>
    <t>Формула: Универсальные законы успеха</t>
  </si>
  <si>
    <t>AAA1904091-P</t>
  </si>
  <si>
    <t>978-5-9614-3220-6</t>
  </si>
  <si>
    <t>Пуриоль Оливье</t>
  </si>
  <si>
    <t>Французское искусство жить не напрягаясь</t>
  </si>
  <si>
    <t>AAA2309190-P</t>
  </si>
  <si>
    <t>978-5-9614-8312-3</t>
  </si>
  <si>
    <t>Харизма: Как влиять, убеждать и вдохновлять</t>
  </si>
  <si>
    <t>AAA2409254-P</t>
  </si>
  <si>
    <t>978-5-0063-0187-0</t>
  </si>
  <si>
    <t>17.01.2025</t>
  </si>
  <si>
    <t>Гловер Роберт</t>
  </si>
  <si>
    <t>Хватит быть скромным парнем! Базовый курс по свиданиям</t>
  </si>
  <si>
    <t>AAA2409107-P</t>
  </si>
  <si>
    <t>978-5-9614-8671-1</t>
  </si>
  <si>
    <t>Лозовский Леонид , Мордехай  Владимир</t>
  </si>
  <si>
    <t>Хорошая память: Тренируем мозг каждый день</t>
  </si>
  <si>
    <t>AAA2410281-P</t>
  </si>
  <si>
    <t>978-5-9614-8237-9</t>
  </si>
  <si>
    <t>Хорошее настроение: Руководство по борьбе с депрессией и тревожностью. Техники и упражнения</t>
  </si>
  <si>
    <t>AAA2409171-P</t>
  </si>
  <si>
    <t>978-5-9614-8042-9</t>
  </si>
  <si>
    <t>Хо Сара Джейн</t>
  </si>
  <si>
    <t>Хорошие манеры: Как свободно общаться и чувствовать себя уверенно с кем угодно и где угодно</t>
  </si>
  <si>
    <t>AAA2503061-P</t>
  </si>
  <si>
    <t>978-5-9614-9080-0</t>
  </si>
  <si>
    <t>Оносов Алексей</t>
  </si>
  <si>
    <t>Хэппиномика. Теория и практика счастливой жизни</t>
  </si>
  <si>
    <t>PGR2409131-P</t>
  </si>
  <si>
    <t>978-5-206-00439-7</t>
  </si>
  <si>
    <t>Егоров Егор</t>
  </si>
  <si>
    <t>Чай с психологом: Как победить тревогу, страхи и панику</t>
  </si>
  <si>
    <t>AAA2203171-P</t>
  </si>
  <si>
    <t>978-5-9614-7455-8</t>
  </si>
  <si>
    <t>Богомолов Виктор</t>
  </si>
  <si>
    <t>Чего хотят мужчины: Открывая заново отношения, секс, силу</t>
  </si>
  <si>
    <t>AAA2311140-P</t>
  </si>
  <si>
    <t>978-5-9614-9456-3</t>
  </si>
  <si>
    <t>Даббс Ким</t>
  </si>
  <si>
    <t>Человек в поисках идентичности: Как найти свое место в жизни</t>
  </si>
  <si>
    <t>AAA2312237-P</t>
  </si>
  <si>
    <t>978-5-9614-9540-9</t>
  </si>
  <si>
    <t>Джонсон Кимберли Энн</t>
  </si>
  <si>
    <t>Четвертый триместр: Как восстановить организм и душевное равновесие после родов</t>
  </si>
  <si>
    <t>AAA2206118-P</t>
  </si>
  <si>
    <t>978-5-9614-8165-5</t>
  </si>
  <si>
    <t>Беркман Оливер</t>
  </si>
  <si>
    <t>Четыре тысячи недель на всё: Меньше планов — больше жизни</t>
  </si>
  <si>
    <t>AAA2502224-P</t>
  </si>
  <si>
    <t>978-5-0063-0216-7</t>
  </si>
  <si>
    <t>Томли Сара</t>
  </si>
  <si>
    <t>Что бы сказал Фрейд? Как великие психотерапевты решили бы ваши проблемы</t>
  </si>
  <si>
    <t>AAA2302021-P</t>
  </si>
  <si>
    <t>978-5-9614-6942-4</t>
  </si>
  <si>
    <t>Что бы сказал...?</t>
  </si>
  <si>
    <t>Чувство стыда: Как перестать бояться быть неправильно воспринятым</t>
  </si>
  <si>
    <t>AAA2310013-P</t>
  </si>
  <si>
    <t>978-5-9614-8752-7</t>
  </si>
  <si>
    <t>Керре Наталья, Кудряшов Иван</t>
  </si>
  <si>
    <t>Шизофрения без страха: Книга для людей с диагнозом и всех, кто рядом</t>
  </si>
  <si>
    <t>AAA2501158-P</t>
  </si>
  <si>
    <t>978-5-9614-7757-3</t>
  </si>
  <si>
    <t>Хоуэллс Лоуренс</t>
  </si>
  <si>
    <t>Эмоции, которые нами управляют: Как не попасть в ловушки гнева, вины, печали. Когнитивно-поведенческий подход</t>
  </si>
  <si>
    <t>AAA2501161-P</t>
  </si>
  <si>
    <t>978-5-9614-7746-7</t>
  </si>
  <si>
    <t>Толстоевский  Иммануил</t>
  </si>
  <si>
    <t>Энциклопедия логических ошибок: Заблуждения, манипуляции, когнитивные искажения и другие враги здравого смысла</t>
  </si>
  <si>
    <t>AAA2503062-P</t>
  </si>
  <si>
    <t>978-5-9614-8247-8</t>
  </si>
  <si>
    <t>Соловьев Алексей</t>
  </si>
  <si>
    <t>Эпоха выгорающих супергероев: Как саморазвитие превратилось в культ, а погоня за счастьем завела нас в тупик</t>
  </si>
  <si>
    <t>AAA2412042-P</t>
  </si>
  <si>
    <t>978-5-9614-9832-5</t>
  </si>
  <si>
    <t>08.02.2025</t>
  </si>
  <si>
    <t>Это не усталость! Как распознать стресс и научиться восстанавливаться</t>
  </si>
  <si>
    <t>AAA2410019-P</t>
  </si>
  <si>
    <t>978-5-9614-9018-3</t>
  </si>
  <si>
    <t>Петрова Евгения</t>
  </si>
  <si>
    <t>Это переходит все границы: Психология эмиграции. Как адаптироваться к жизни в другой стране</t>
  </si>
  <si>
    <t>AAA2302167-P</t>
  </si>
  <si>
    <t>978-5-9614-8704-6</t>
  </si>
  <si>
    <t>Мартин Джен</t>
  </si>
  <si>
    <t>Это просто я: Как наука объясняет наши странности и привычки</t>
  </si>
  <si>
    <t>AAA2304086-P</t>
  </si>
  <si>
    <t>978-5-9614-8000-9</t>
  </si>
  <si>
    <t>Алонци Мария Беатриче</t>
  </si>
  <si>
    <t>Я больше не хочу всем нравиться:  Найди в себе смелость любить себя и жить как хочешь</t>
  </si>
  <si>
    <t>AAA2411037-P</t>
  </si>
  <si>
    <t>978-5-9614-8027-6</t>
  </si>
  <si>
    <t>Малесик Джонатан</t>
  </si>
  <si>
    <t>Я всё! Почему мы выгораем на работе и как это изменить</t>
  </si>
  <si>
    <t>AAA2207011-P</t>
  </si>
  <si>
    <t>978-5-9614-8194-5</t>
  </si>
  <si>
    <t>Я и мои деньги: Зарабатываем, тратим и сберегаем осознанно. Психологический практикум</t>
  </si>
  <si>
    <t>AAA2502309-P</t>
  </si>
  <si>
    <t>978-5-9614-8643-8</t>
  </si>
  <si>
    <t>Ларринага Хесус</t>
  </si>
  <si>
    <t>Я и мои эмоции: Как понять и принять свои чувства</t>
  </si>
  <si>
    <t>AAA2503055-P</t>
  </si>
  <si>
    <t>978-5-9614-9084-8</t>
  </si>
  <si>
    <t>Я тебя прощаю: Как проработать семейные травмы и понять себя</t>
  </si>
  <si>
    <t>AAA2410114-P</t>
  </si>
  <si>
    <t>978-5-9614-9083-1</t>
  </si>
  <si>
    <t>Ярмолович Ольга</t>
  </si>
  <si>
    <t>Яд материнской любви: Как мама придумывала мне болезни. Личная история о синдроме Мюнхгаузена</t>
  </si>
  <si>
    <t>AAA2207125-P</t>
  </si>
  <si>
    <t>978-5-9614-8239-3</t>
  </si>
  <si>
    <t>Фудзимото Мари, Баклер Дэвид, Кенна Майкл</t>
  </si>
  <si>
    <t>Японское искусство гармоничной жизни</t>
  </si>
  <si>
    <t>AAA2501234-P</t>
  </si>
  <si>
    <t>978-5-9614-9550-8</t>
  </si>
  <si>
    <t>1.03. Серия "Саморазвитие" (покеты)</t>
  </si>
  <si>
    <t>Джозеф Стивен</t>
  </si>
  <si>
    <t>[покет-серия] Аутентичность: Как быть собой</t>
  </si>
  <si>
    <t>AAA2409236-P</t>
  </si>
  <si>
    <t>978-5-9614-2888-9</t>
  </si>
  <si>
    <t>[покет-серия] Гиперфокус: Как управлять вниманием в мире, полном отвлечений</t>
  </si>
  <si>
    <t>AAA2410193-P</t>
  </si>
  <si>
    <t>978-5-9614-8341-3</t>
  </si>
  <si>
    <t>[покет-серия] Главное внимание главным вещам: Жить, любить, учиться и оставить наследие</t>
  </si>
  <si>
    <t>AAA2303112-P</t>
  </si>
  <si>
    <t>978-5-9614-1104-1</t>
  </si>
  <si>
    <t>Браун Брене</t>
  </si>
  <si>
    <t>[покет-серия] Дары несовершенства: Как полюбить себя таким, какой ты есть</t>
  </si>
  <si>
    <t>NNN2411169-P</t>
  </si>
  <si>
    <t>978-5-00139-148-7</t>
  </si>
  <si>
    <t>Рат Том</t>
  </si>
  <si>
    <t>[покет-серия] Ешь, двигайся, спи: Как повседневные решения влияют на здоровье и долголетие</t>
  </si>
  <si>
    <t>AAA2409188-P</t>
  </si>
  <si>
    <t>978-5-9614-1182-9</t>
  </si>
  <si>
    <t>Каплан Талер Линда, Коваль Робин</t>
  </si>
  <si>
    <t>[покет-серия] Железная хватка: Как развить в себе качества, необходимые для достижения успеха</t>
  </si>
  <si>
    <t>AAA2302142-P</t>
  </si>
  <si>
    <t>978-5-9614-2886-5</t>
  </si>
  <si>
    <t>Браун Питер, Рёдигер Генри, Макдэниэл Марк</t>
  </si>
  <si>
    <t>[покет-серия] Запомнить все: Усвоение знаний без скуки и зубрежки</t>
  </si>
  <si>
    <t>AAA2304155-P</t>
  </si>
  <si>
    <t>978-5-9614-2580-2</t>
  </si>
  <si>
    <t>Лоро Доминик</t>
  </si>
  <si>
    <t>[покет-серия] Искусство жить просто: Как избавиться от лишнего и обогатить свою жизнь</t>
  </si>
  <si>
    <t>AAA2402047-P</t>
  </si>
  <si>
    <t>978-5-9614-9609-3</t>
  </si>
  <si>
    <t>Кристиан Брайан, Гриффитс Том</t>
  </si>
  <si>
    <t>[покет-серия] Математика жизни: Простые алгоритмы принятия верных решений</t>
  </si>
  <si>
    <t>AAA2302132-P</t>
  </si>
  <si>
    <t>978-5-9614-8699-5</t>
  </si>
  <si>
    <t>Милн Джордан, Бьяуго Мартин</t>
  </si>
  <si>
    <t>[покет-серия] Меньше, но лучше: Работать надо не 12 часов, а головой</t>
  </si>
  <si>
    <t>AAA2310278-P</t>
  </si>
  <si>
    <t>978-5-9614-2264-1</t>
  </si>
  <si>
    <t>Маурер Роберт</t>
  </si>
  <si>
    <t>[покет-серия] Метод кайдзен: Шаг за шагом к достижению цели</t>
  </si>
  <si>
    <t>AAA2412110-P</t>
  </si>
  <si>
    <t>978-5-9614-2494-2</t>
  </si>
  <si>
    <t>Гайз Стивен</t>
  </si>
  <si>
    <t>[покет-серия] Мини-привычки — макси-результаты</t>
  </si>
  <si>
    <t>AAA2312012-P</t>
  </si>
  <si>
    <t>978-5-9614-2406-5</t>
  </si>
  <si>
    <t>[покет-серия] Самое важное</t>
  </si>
  <si>
    <t>AAA2210029-P</t>
  </si>
  <si>
    <t>978-5-9614-8361-1</t>
  </si>
  <si>
    <t>Шварц Тони, Гомес Жан, Маккарти Кэтрин</t>
  </si>
  <si>
    <t>[покет-серия] То, как мы работаем — не работает: Проверенные способы управления жизненной энергией</t>
  </si>
  <si>
    <t>AAA2307127-P</t>
  </si>
  <si>
    <t>978-5-9614-1159-1</t>
  </si>
  <si>
    <t>Фрай Рон</t>
  </si>
  <si>
    <t>[покет-серия] Тренировка памяти: Экспресс-курс</t>
  </si>
  <si>
    <t>AAA2205105-P</t>
  </si>
  <si>
    <t>978-5-9614-1178-2</t>
  </si>
  <si>
    <t>[покет-серия] Убеждай и побеждай: Секреты эффективной аргументации</t>
  </si>
  <si>
    <t>AAA2304008-P</t>
  </si>
  <si>
    <t>978-5-9614-1507-0</t>
  </si>
  <si>
    <t>Силли Марла</t>
  </si>
  <si>
    <t>[покет-серия] Школа Флайледи: Как навести порядок в доме и в жизни</t>
  </si>
  <si>
    <t>AAA2408080-P</t>
  </si>
  <si>
    <t>978-5-9614-9122-7</t>
  </si>
  <si>
    <t>Фоер Джошуа</t>
  </si>
  <si>
    <t>[покет-серия] Эйнштейн гуляет по Луне: Наука и искусство запоминания</t>
  </si>
  <si>
    <t>AAA2312010-P</t>
  </si>
  <si>
    <t>978-5-9614-2686-1</t>
  </si>
  <si>
    <t>[покет-серия] Энергия — новая валюта: Как  поддерживать баланс жизненных сил</t>
  </si>
  <si>
    <t>AAA2409250-P</t>
  </si>
  <si>
    <t>978-5-9614-8642-1</t>
  </si>
  <si>
    <t>1.04. Серия "Психология и философия" (покеты)</t>
  </si>
  <si>
    <t>[покет-серия] Близко к сердцу: Как жить, если вы слишком чувствительный человек</t>
  </si>
  <si>
    <t>AAA2301055-P</t>
  </si>
  <si>
    <t>978-5-9614-7000-0</t>
  </si>
  <si>
    <t>Гладуэлл Малкольм</t>
  </si>
  <si>
    <t>[покет-серия] Давид и Голиаф: Как аутсайдеры побеждают фаворитов</t>
  </si>
  <si>
    <t>AAA2210191-P</t>
  </si>
  <si>
    <t>978-5-9614-7153-3</t>
  </si>
  <si>
    <t>[покет-серия] Добродетель эгоизма</t>
  </si>
  <si>
    <t>AAA2310277-P</t>
  </si>
  <si>
    <t>978-5-9614-7069-7</t>
  </si>
  <si>
    <t>[покет-серия] Как научиться оптимизму: Измените взгляд на мир и свою жизнь</t>
  </si>
  <si>
    <t>AAA2410113-P</t>
  </si>
  <si>
    <t>978-5-9614-6855-7</t>
  </si>
  <si>
    <t>[покет-серия] Логотерапия и экзистенциальный анализ: статьи и лекции</t>
  </si>
  <si>
    <t>NNN2409200-P</t>
  </si>
  <si>
    <t>978-5-00139-768-7</t>
  </si>
  <si>
    <t>Далсегг Ауд, Вессе Инге</t>
  </si>
  <si>
    <t>[покет-серия] На крючке: Как разорвать круг нездоровых отношений</t>
  </si>
  <si>
    <t>AAA2302141-P</t>
  </si>
  <si>
    <t>978-5-9614-7072-7</t>
  </si>
  <si>
    <t>Шапиро Дэниел</t>
  </si>
  <si>
    <t>[покет-серия] На эмоциях: Как улаживать самые болезненные конфликты в семье и на работе</t>
  </si>
  <si>
    <t>AAA2309215-P</t>
  </si>
  <si>
    <t>978-5-9614-2148-4</t>
  </si>
  <si>
    <t>Федэл Тэмсен</t>
  </si>
  <si>
    <t>[покет-серия] Одна и счастлива: Как обрести почву под ногами после расставания или развода</t>
  </si>
  <si>
    <t>AAA2403136-P</t>
  </si>
  <si>
    <t>978-5-9614-1368-7</t>
  </si>
  <si>
    <t>[покет-серия] Переломный момент: Как незначительные изменения приводят к глобальным переменам</t>
  </si>
  <si>
    <t>AAA2409180-P</t>
  </si>
  <si>
    <t>978-5-9614-2287-0</t>
  </si>
  <si>
    <t>Рапсон Джеймс, Инглиш Крейг</t>
  </si>
  <si>
    <t>[покет-серия] Похвалите меня: Как перестать зависеть от чужого мнения и обрести уверенность в себе</t>
  </si>
  <si>
    <t>AAA2312201-P</t>
  </si>
  <si>
    <t>978-5-9614-3851-2</t>
  </si>
  <si>
    <t>[покет-серия] Рецепт счастья: Принимайте себя три раза в день</t>
  </si>
  <si>
    <t>AAA2212134-P</t>
  </si>
  <si>
    <t>978-5-9614-8579-0</t>
  </si>
  <si>
    <t>[покет-серия] Романтический манифест: Философия литературы</t>
  </si>
  <si>
    <t>AAA2309086-P</t>
  </si>
  <si>
    <t>978-5-9614-7120-5</t>
  </si>
  <si>
    <t>де Врис Манфред Кетс</t>
  </si>
  <si>
    <t>[покет-серия] Секс, деньги, счастье и смерть: В поисках себя</t>
  </si>
  <si>
    <t>AAA2409244-P</t>
  </si>
  <si>
    <t>978-5-9614-1533-9</t>
  </si>
  <si>
    <t>[покет-серия] Сила мгновенных решений: Интуиция как навык</t>
  </si>
  <si>
    <t>AAA2311038-P</t>
  </si>
  <si>
    <t>978-5-9614-6894-6</t>
  </si>
  <si>
    <t>Гилберт Дэниел</t>
  </si>
  <si>
    <t>[покет-серия] Спотыкаясь о счастье</t>
  </si>
  <si>
    <t>AAA2403186-P</t>
  </si>
  <si>
    <t>978-5-9614-6856-4</t>
  </si>
  <si>
    <t>Шуман Пола</t>
  </si>
  <si>
    <t>[покет-серия] Стратегия семейной жизни: Как реже мыть посуду, чаще заниматься сексом и меньше ссориться</t>
  </si>
  <si>
    <t>AAA2302223-P</t>
  </si>
  <si>
    <t>978-5-9614-1208-6</t>
  </si>
  <si>
    <t>Чаморро-Премузик Томас</t>
  </si>
  <si>
    <t>[покет-серия] Уверенность в себе: Как повысить самооценку, преодолеть страхи и сомнения</t>
  </si>
  <si>
    <t>AAA2308140-P</t>
  </si>
  <si>
    <t>978-5-9614-7068-0</t>
  </si>
  <si>
    <t>Ньюпорт Кэл</t>
  </si>
  <si>
    <t>[покет-серия] Хватит мечтать, займись делом! Почему важнее хорошо работать, чем искать хорошую работу</t>
  </si>
  <si>
    <t>AAA2403071-P</t>
  </si>
  <si>
    <t>978-5-9614-7002-4</t>
  </si>
  <si>
    <t>[покет-серия] Честно о нечестности: Почему мы лжем всем и особенно себе</t>
  </si>
  <si>
    <t>AAA2210057-P</t>
  </si>
  <si>
    <t>978-5-9614-8372-7</t>
  </si>
  <si>
    <t>[покет-серия] Что видела собака: Про первопроходцев, гениев второго плана, поздние таланты, а также другие истории</t>
  </si>
  <si>
    <t>AAA2307122-P</t>
  </si>
  <si>
    <t>978-5-9614-2386-0</t>
  </si>
  <si>
    <t>1.05. Переговоры и риторика</t>
  </si>
  <si>
    <t>Аргументируй это! Как убедить кого угодно в чем угодно</t>
  </si>
  <si>
    <t>AAA2401190-P</t>
  </si>
  <si>
    <t>978-5-9614-6649-2</t>
  </si>
  <si>
    <t>Иванов Алексей, Шедина Светлана</t>
  </si>
  <si>
    <t>Аутентичная коммуникация: Практика честного и бережного общения</t>
  </si>
  <si>
    <t>AAA2501170-P</t>
  </si>
  <si>
    <t>978-5-0063-0232-7</t>
  </si>
  <si>
    <t>[обложка] Без воды: Как писать предложения и отчеты для первых лиц</t>
  </si>
  <si>
    <t>AAA2206094-P</t>
  </si>
  <si>
    <t>978-5-9614-8121-1</t>
  </si>
  <si>
    <t>Шелл Ричард</t>
  </si>
  <si>
    <t>Большая книга переговоров: Стратегии, сценарии, кейсы</t>
  </si>
  <si>
    <t>AAA2402043-P</t>
  </si>
  <si>
    <t>978-5-9614-3332-6</t>
  </si>
  <si>
    <t>Трофимова Надежда</t>
  </si>
  <si>
    <t>Говори: 56 техник, с помощью которых вы преодолеете страх общения и станете лучшим собеседником</t>
  </si>
  <si>
    <t>AAA2310235-P</t>
  </si>
  <si>
    <t>978-5-9614-9396-2</t>
  </si>
  <si>
    <t>[переплет] Договориться можно обо всем! Как добиваться максимума в любых переговорах</t>
  </si>
  <si>
    <t>AAA2410187-P</t>
  </si>
  <si>
    <t>978-5-9614-6868-7</t>
  </si>
  <si>
    <t>Кеннеди Дэн, Мэтьюс Дастин</t>
  </si>
  <si>
    <t>Жесткие презентации: Как продать что угодно кому угодно</t>
  </si>
  <si>
    <t>AAA2502219-P</t>
  </si>
  <si>
    <t>978-5-9614-2055-5</t>
  </si>
  <si>
    <t>Жунусбек Меруерт</t>
  </si>
  <si>
    <t>Искусство разговаривать. 10 простых шагов. Как увлекать и убеждать слушателей</t>
  </si>
  <si>
    <t>PGR2501009-P</t>
  </si>
  <si>
    <t>978-5-907394-42-1</t>
  </si>
  <si>
    <t>[переплет] Как разговаривать с кем угодно, когда угодно и где угодно</t>
  </si>
  <si>
    <t>AAA2409286-P</t>
  </si>
  <si>
    <t>978-5-0063-0192-4</t>
  </si>
  <si>
    <t>14.01.2025</t>
  </si>
  <si>
    <t>Федоров Артем</t>
  </si>
  <si>
    <t>Клиент согласен! Пошаговая система успешных переговоров от подготовки предложения до подписания договора</t>
  </si>
  <si>
    <t>LGA2101003-P</t>
  </si>
  <si>
    <t>978-5-907394-61-2</t>
  </si>
  <si>
    <t>Юри Уильям</t>
  </si>
  <si>
    <t>Мы можем договориться: Стратегии разрешения сложных конфликтов</t>
  </si>
  <si>
    <t>AAA2501169-P</t>
  </si>
  <si>
    <t>978-5-9614-9263-7</t>
  </si>
  <si>
    <t>Салякаев Артур</t>
  </si>
  <si>
    <t>Неслучайные связи: Нетворкинг как образ жизни</t>
  </si>
  <si>
    <t>PGR2501002-P</t>
  </si>
  <si>
    <t>978-5-907470-18-7</t>
  </si>
  <si>
    <t>Трымбовецкий Эдуард</t>
  </si>
  <si>
    <t>Переговоры за минуту. Экспресс-курс делового общения</t>
  </si>
  <si>
    <t>PGR2501082-P</t>
  </si>
  <si>
    <t>978-5-907534-28-5</t>
  </si>
  <si>
    <t>Переговоры: Полный курс</t>
  </si>
  <si>
    <t>AAA2412104-P</t>
  </si>
  <si>
    <t>978-5-9614-7128-1</t>
  </si>
  <si>
    <t>1.06. Серия "Переговоры и риторика" (покеты)</t>
  </si>
  <si>
    <t>Семенчук Вячеслав</t>
  </si>
  <si>
    <t>[покет-серия] 101 способ раскрутки личного бренда: Как сделать себе имя</t>
  </si>
  <si>
    <t>PGR2412046-P</t>
  </si>
  <si>
    <t>978-5-6042879-5-8</t>
  </si>
  <si>
    <t>26.01.2025</t>
  </si>
  <si>
    <t>[покет-серия] Гни свою линию: Приемы эффективной коммуникации</t>
  </si>
  <si>
    <t>AAA2404059-P</t>
  </si>
  <si>
    <t>978-5-9614-2622-9</t>
  </si>
  <si>
    <t>[покет-серия] Искусство словесной атаки: Практическое руководство</t>
  </si>
  <si>
    <t>AAA2410297-P</t>
  </si>
  <si>
    <t>978-5-9614-2615-1</t>
  </si>
  <si>
    <t>[покет-серия] Магия общения: Практика успешной коммуникации</t>
  </si>
  <si>
    <t>AAA2410286-P</t>
  </si>
  <si>
    <t>978-5-9614-8582-0</t>
  </si>
  <si>
    <t>[покет-серия] Правила делового общения: 33 "нельзя" и 33 "можно"</t>
  </si>
  <si>
    <t>AAA2410098-P</t>
  </si>
  <si>
    <t>978-5-9614-2624-3</t>
  </si>
  <si>
    <t>[покет-серия] Я говорю - меня слушают: Уроки практической риторики</t>
  </si>
  <si>
    <t>AAA2501148-P</t>
  </si>
  <si>
    <t>978-5-9614-2618-2</t>
  </si>
  <si>
    <t>1.07 Мотивационные ежедневники</t>
  </si>
  <si>
    <t>[мята]  Дневник впечатлений на 5 лет: 5 строчек в день</t>
  </si>
  <si>
    <t>AAA2309003-P</t>
  </si>
  <si>
    <t>978-5-9614-9217-0</t>
  </si>
  <si>
    <t>6 минут PURE. Ежедневник, который изменит вашу жизнь (продолжение,  ежевика)</t>
  </si>
  <si>
    <t>AAA2401138-P</t>
  </si>
  <si>
    <t>978-5-9614-7293-6</t>
  </si>
  <si>
    <t>6 минут PURE. Ежедневник, который изменит вашу жизнь (продолжение, базальт)</t>
  </si>
  <si>
    <t>AAA2401149-P</t>
  </si>
  <si>
    <t>978-5-9614-9574-4</t>
  </si>
  <si>
    <t>6 минут PURE. Ежедневник, который изменит вашу жизнь (продолжение, мятный)</t>
  </si>
  <si>
    <t>AAA2401136-P</t>
  </si>
  <si>
    <t>978-5-9614-7292-9</t>
  </si>
  <si>
    <t>6 минут PURE. Ежедневник, который изменит вашу жизнь (продолжение, пудра)</t>
  </si>
  <si>
    <t>AAA2401137-P</t>
  </si>
  <si>
    <t>978-5-9614-4193-2</t>
  </si>
  <si>
    <t>[сиреневый] 6 минут PURE. Ежедневник, который изменит вашу жизнь (продолжение). Inspired by Gunta Stölzl</t>
  </si>
  <si>
    <t>AAA2401185-P</t>
  </si>
  <si>
    <t>978-5-9614-8384-0</t>
  </si>
  <si>
    <t>6 минут:  Дневник сна</t>
  </si>
  <si>
    <t>AAA2307087-P</t>
  </si>
  <si>
    <t>978-5-9614-9101-2</t>
  </si>
  <si>
    <t>6 минут. Дневник успеха (хаки)</t>
  </si>
  <si>
    <t>AAA2401173-P</t>
  </si>
  <si>
    <t>978-5-9614-3803-1</t>
  </si>
  <si>
    <t>6 минут. Дневник успеха (шафран)</t>
  </si>
  <si>
    <t>AAA2401174-P</t>
  </si>
  <si>
    <t>978-5-9614-3802-4</t>
  </si>
  <si>
    <t>[синий] 6 минут. Дневник успеха. Inspired by Gunta Stölzl</t>
  </si>
  <si>
    <t>AAA2402087-P</t>
  </si>
  <si>
    <t>978-5-9614-8387-1</t>
  </si>
  <si>
    <t>6 минут. Ежедневник, который изменит вашу жизнь (деним)</t>
  </si>
  <si>
    <t>AAA2401132-P</t>
  </si>
  <si>
    <t>978-5-9614-3897-0</t>
  </si>
  <si>
    <t>6 минут. Ежедневник, который изменит вашу жизнь (ежевика)</t>
  </si>
  <si>
    <t>AAA2401134-P</t>
  </si>
  <si>
    <t>978-5-9614-3364-7</t>
  </si>
  <si>
    <t>6 минут. Ежедневник, который изменит вашу жизнь (корица)</t>
  </si>
  <si>
    <t>AAA2401133-P</t>
  </si>
  <si>
    <t>978-5-9614-3892-5</t>
  </si>
  <si>
    <t>6 минут. Ежедневник, который изменит вашу жизнь (лён)</t>
  </si>
  <si>
    <t>AAA2401131-P</t>
  </si>
  <si>
    <t>978-5-9614-3890-1</t>
  </si>
  <si>
    <t>6 минут. Ежедневник, который изменит вашу жизнь (лимонад)</t>
  </si>
  <si>
    <t>AAA2401130-P</t>
  </si>
  <si>
    <t>978-5-9614-3889-5</t>
  </si>
  <si>
    <t>6 минут. Ежедневник, который изменит вашу жизнь (мятный)</t>
  </si>
  <si>
    <t>AAA2401128-P</t>
  </si>
  <si>
    <t>978-5-9614-2129-3</t>
  </si>
  <si>
    <t>[синий] 6 минут. Ежедневник, который изменит вашу жизнь. Inspired by Gunta Stölzl</t>
  </si>
  <si>
    <t>AAA2410024-P</t>
  </si>
  <si>
    <t>978-5-9614-8381-9</t>
  </si>
  <si>
    <t>[красный] 6 минут. Ежедневник, который изменит вашу жизнь. Inspired by Gunta Stölzl</t>
  </si>
  <si>
    <t>AAA2501147-P</t>
  </si>
  <si>
    <t>978-5-9614-8382-6</t>
  </si>
  <si>
    <t>[пастельный] 6 минут. Ежедневник, который изменит вашу жизнь. Inspired by Gunta Stölzl</t>
  </si>
  <si>
    <t>AAA2412264-P</t>
  </si>
  <si>
    <t>978-5-9614-8383-3</t>
  </si>
  <si>
    <t>[золото] Дневник впечатлений на 5 лет: 5 строчек в день (макси)</t>
  </si>
  <si>
    <t>AAA2412101-P</t>
  </si>
  <si>
    <t>978-5-9614-7923-2</t>
  </si>
  <si>
    <t>[пепельно-коричневый] Дневник заботы о себе</t>
  </si>
  <si>
    <t>AAA2402214-P</t>
  </si>
  <si>
    <t>978-5-9614-9660-4</t>
  </si>
  <si>
    <t>Дневник пофигиста: Тонкое искусство пофигизма на практике</t>
  </si>
  <si>
    <t>AAA2312018-P</t>
  </si>
  <si>
    <t>978-5-9614-7919-5</t>
  </si>
  <si>
    <t>Эммерс Каролин, Адамс Лин</t>
  </si>
  <si>
    <t>Дневник твоей энергии: Чек-листы, советы, упражнения</t>
  </si>
  <si>
    <t>AAA2407058-P</t>
  </si>
  <si>
    <t>978-5-0063-0001-9</t>
  </si>
  <si>
    <t>[синий] Дневник эффективности</t>
  </si>
  <si>
    <t>AAA2411135-P</t>
  </si>
  <si>
    <t>978-5-9614-8010-8</t>
  </si>
  <si>
    <t>Архангельский Глеб</t>
  </si>
  <si>
    <t>Ежедневник: Метод Глеба Архангельского (квартальный, недатированный, кобальт)</t>
  </si>
  <si>
    <t>AAA2011190-P</t>
  </si>
  <si>
    <t>978-5-9614-4009-6</t>
  </si>
  <si>
    <t>Ежедневники Глеба Архангельского</t>
  </si>
  <si>
    <t>Ежедневник: Метод Глеба Архангельского. Executive version</t>
  </si>
  <si>
    <t>AAA1809060-P</t>
  </si>
  <si>
    <t>978-5-9614-6653-9</t>
  </si>
  <si>
    <t>[латте] Ежедневник: Метод Стивена Кови</t>
  </si>
  <si>
    <t>AAA2401063-P</t>
  </si>
  <si>
    <t>978-5-9614-8737-4</t>
  </si>
  <si>
    <t>[деним] Ежедневник: Метод Стивена Кови</t>
  </si>
  <si>
    <t>AAA2401064-P</t>
  </si>
  <si>
    <t>978-5-9614-8739-8</t>
  </si>
  <si>
    <t>Ежедневники Веденеевой: 52 weeks / Ежедневник: 52 недели для наблюдения за собой</t>
  </si>
  <si>
    <t>AAA2402085-P</t>
  </si>
  <si>
    <t>978-5-9614-8650-6</t>
  </si>
  <si>
    <t>Ежедневники Веденеевой. 75 questions: Вопросы для самопознания</t>
  </si>
  <si>
    <t>AAA2410275-P</t>
  </si>
  <si>
    <t>978-5-9614-8652-0</t>
  </si>
  <si>
    <t>Ежедневники Веденеевой. Challenge book: Блокнот для наведения порядка в жизни</t>
  </si>
  <si>
    <t>AAA2412100-P</t>
  </si>
  <si>
    <t>978-5-9614-8898-2</t>
  </si>
  <si>
    <t>Ежедневники Веденеевой. Good enough: Работа над самоценностью</t>
  </si>
  <si>
    <t>AAA2410274-P</t>
  </si>
  <si>
    <t>978-5-9614-8899-9</t>
  </si>
  <si>
    <t>Ежедневники Веденеевой. Gratitude Diary: 1000 причин для счастья. Дневник благодарности</t>
  </si>
  <si>
    <t>AAA2411036-P</t>
  </si>
  <si>
    <t>978-5-9614-8897-5</t>
  </si>
  <si>
    <t>Карл Маршалл Дэвид Маршалл</t>
  </si>
  <si>
    <t>[изумруд] Книга обо мне: 201 вопрос, ответы на которые будут интересны моим детям и внукам</t>
  </si>
  <si>
    <t>AAA2408131-P</t>
  </si>
  <si>
    <t>978-5-0063-0098-9</t>
  </si>
  <si>
    <t>[рубин] Книга обо мне: 201 вопрос, ответы на которые будут интересны моим детям и внукам</t>
  </si>
  <si>
    <t>AAA2408132-P</t>
  </si>
  <si>
    <t>978-5-0063-0099-6</t>
  </si>
  <si>
    <t>[кит] Один вопрос в день для обретения спокойствия: Дневник на три года</t>
  </si>
  <si>
    <t>AAA2305057-P</t>
  </si>
  <si>
    <t>978-5-9614-8965-1</t>
  </si>
  <si>
    <t>[акварель] Один вопрос в день: Дневник на пять лет</t>
  </si>
  <si>
    <t>AAA2403196-P</t>
  </si>
  <si>
    <t>978-5-9614-8423-6</t>
  </si>
  <si>
    <t>[мрамор] Один вопрос в день: Дневник на пять лет</t>
  </si>
  <si>
    <t>AAA2402203-P</t>
  </si>
  <si>
    <t>978-5-9614-8646-9</t>
  </si>
  <si>
    <t>[ривьера] Один вопрос в день: Дневник на пять лет</t>
  </si>
  <si>
    <t>AAA2411104-P</t>
  </si>
  <si>
    <t>978-5-0063-0320-1</t>
  </si>
  <si>
    <t>Бар Элиас</t>
  </si>
  <si>
    <t>Прощай, грусть! Дневник, который поможет отпустить все плохое из вашей жизни</t>
  </si>
  <si>
    <t>AAA2402015-P</t>
  </si>
  <si>
    <t>978-5-9614-9604-8</t>
  </si>
  <si>
    <t>Семь навыков высокоэффективных людей на практике. Дневник формирования полезных привычек</t>
  </si>
  <si>
    <t>AAA2410310-P</t>
  </si>
  <si>
    <t>978-5-9614-6262-3</t>
  </si>
  <si>
    <t>Тетради для рефлексии: Идеи, Решения, Установки</t>
  </si>
  <si>
    <t>AAA2203116-P</t>
  </si>
  <si>
    <t>978-5-9614-7410-7</t>
  </si>
  <si>
    <t>02. Писательское мастерство, креативность и творчество</t>
  </si>
  <si>
    <t>2.01. Главные книги раздела</t>
  </si>
  <si>
    <t>Воглер Кристофер, Маккенна Дэвид</t>
  </si>
  <si>
    <t>[покет] Memo: Секреты создания структуры и персонажей в сценарии</t>
  </si>
  <si>
    <t>NNN2407101-P</t>
  </si>
  <si>
    <t>978-5-00139-140-1</t>
  </si>
  <si>
    <t>Эванс Бек , Смит Крис</t>
  </si>
  <si>
    <t>Дойти до точки: Как преодолеть писательский блок и создавать тексты без мучений и боли</t>
  </si>
  <si>
    <t>NNN2211013-P</t>
  </si>
  <si>
    <t>978-5-00139-897-4</t>
  </si>
  <si>
    <t>Бирн Дэвид</t>
  </si>
  <si>
    <t>Как работает музыка</t>
  </si>
  <si>
    <t>NNN2410040-P</t>
  </si>
  <si>
    <t>978-5-00139-194-4</t>
  </si>
  <si>
    <t>Долин Антон</t>
  </si>
  <si>
    <t>Как смотреть кино</t>
  </si>
  <si>
    <t>ADP2502343-P</t>
  </si>
  <si>
    <t>978-5-0063-0225-9</t>
  </si>
  <si>
    <t>Кларк Грег, Бошамп Монти</t>
  </si>
  <si>
    <t>Муза, где же кружка? Великие писатели и напитки, которые их вдохновляли</t>
  </si>
  <si>
    <t>AAA1904144-P</t>
  </si>
  <si>
    <t>978-5-9614-3130-8</t>
  </si>
  <si>
    <t>Индик Уильям</t>
  </si>
  <si>
    <t>[покет-серия] Психология для сценаристов: Построение конфликта в сюжете</t>
  </si>
  <si>
    <t>NNN2411082-P</t>
  </si>
  <si>
    <t>978-5-00139-125-8</t>
  </si>
  <si>
    <t>Воглер Кристофер</t>
  </si>
  <si>
    <t>[покет] Путешествие писателя: Мифологические структуры в литературе и кино</t>
  </si>
  <si>
    <t>NNN2411165-P</t>
  </si>
  <si>
    <t>978-5-00139-144-9</t>
  </si>
  <si>
    <t>Уэйланд Кэти Мари</t>
  </si>
  <si>
    <t>[покет-серия] Создание арки персонажа. Секреты сценарного мастерства: единство структуры, сюжета и героя</t>
  </si>
  <si>
    <t>NNN2411083-P</t>
  </si>
  <si>
    <t>978-5-00139-769-4</t>
  </si>
  <si>
    <t>Звягинцев Андрей, Негин Олег, Моисеенко Владимир, Новотоцкий Александр</t>
  </si>
  <si>
    <t>Сценарии кинофильмов Андрея Звягинцева</t>
  </si>
  <si>
    <t>NNN2206122-P</t>
  </si>
  <si>
    <t>978-5-91671-991-8</t>
  </si>
  <si>
    <t>Пульизи Бекка , Акерман Анджела</t>
  </si>
  <si>
    <t>Тезаурус эмоций: Руководство для писателей и сценаристов</t>
  </si>
  <si>
    <t>NNN2411064-P</t>
  </si>
  <si>
    <t>978-5-00139-327-6</t>
  </si>
  <si>
    <t>2.02. Развитие креативности и творческих навыков</t>
  </si>
  <si>
    <t>Циммерман Элизабет</t>
  </si>
  <si>
    <t>Вязание без слез: Базовые техники и понятные схемы</t>
  </si>
  <si>
    <t>AAA2410105-P</t>
  </si>
  <si>
    <t>978-5-9614-6240-1</t>
  </si>
  <si>
    <t>12.01.2025</t>
  </si>
  <si>
    <t>Беркун Скотт</t>
  </si>
  <si>
    <t>Дизайн всего: Как появляются вещи, о которых мы не задумываемся</t>
  </si>
  <si>
    <t>AAA2410023-P</t>
  </si>
  <si>
    <t>978-5-9614-7513-5</t>
  </si>
  <si>
    <t>Курманбаева Эльмира</t>
  </si>
  <si>
    <t>Клуб "28 петель". Мы вяжем для родившихся слишком рано</t>
  </si>
  <si>
    <t>LGA2110129-P</t>
  </si>
  <si>
    <t>978-5-907470-98-9</t>
  </si>
  <si>
    <t>Альтшуллер Генрих</t>
  </si>
  <si>
    <t>Найти идею: Введение в ТРИЗ - теорию решения изобретательских задач</t>
  </si>
  <si>
    <t>AAA2409248-P</t>
  </si>
  <si>
    <t>978-5-9614-7704-7</t>
  </si>
  <si>
    <t>Амирханова Гулим</t>
  </si>
  <si>
    <t>Научись уже делать картинки! «Учебник» маминой подруги, или Книга-презентация. Визуальные принципы мультимедиа для начинающих</t>
  </si>
  <si>
    <t>ZGZ2404111-P</t>
  </si>
  <si>
    <t>978-601-09-6106-7</t>
  </si>
  <si>
    <t>Новые правила деловой переписки</t>
  </si>
  <si>
    <t>AAA2411034-P</t>
  </si>
  <si>
    <t>978-5-9614-1034-1</t>
  </si>
  <si>
    <t>Пельтек Евгения</t>
  </si>
  <si>
    <t>Пишите – не пишите: Психологическое руководство для авторов по работе с текстом и собой</t>
  </si>
  <si>
    <t>AAA2101109-P</t>
  </si>
  <si>
    <t>978-5-9614-4103-1</t>
  </si>
  <si>
    <t>Гомбрих Эрнст</t>
  </si>
  <si>
    <t>Тени в западном искусстве</t>
  </si>
  <si>
    <t>NNN1812150-P</t>
  </si>
  <si>
    <t>978-5-00139-119-7</t>
  </si>
  <si>
    <t>2.03. Кино, театр, писательское и сценарное мастерство</t>
  </si>
  <si>
    <t>Ахметов Камилл</t>
  </si>
  <si>
    <t>[покет-серия] 125 лет кинодраматургии:  От братьев Люмьер до братьев Нолан</t>
  </si>
  <si>
    <t>NNN2401006-P</t>
  </si>
  <si>
    <t>978-5-00223-260-4</t>
  </si>
  <si>
    <t>Елютин Федор</t>
  </si>
  <si>
    <t>Remote Moscow: Как зарабатывать на впечатлениях</t>
  </si>
  <si>
    <t>AAA1911111-P</t>
  </si>
  <si>
    <t>978-5-9614-1549-0</t>
  </si>
  <si>
    <t>[покет-серия] Архитектура сюжета: Как создать запоминающуюся историю</t>
  </si>
  <si>
    <t>NNN2411163-P</t>
  </si>
  <si>
    <t>978-5-00223-015-0</t>
  </si>
  <si>
    <t>Тупикина Юлия</t>
  </si>
  <si>
    <t>Диалоги — огонь! 15 сценарных и драматургических приемов</t>
  </si>
  <si>
    <t>NNN2401208-P</t>
  </si>
  <si>
    <t>978-5-00223-263-5</t>
  </si>
  <si>
    <t>Погорелый Юрий</t>
  </si>
  <si>
    <t>Интерфакс. Технология новостей</t>
  </si>
  <si>
    <t>PGR2008122-P</t>
  </si>
  <si>
    <t>978-5-907534-40-7</t>
  </si>
  <si>
    <t>Белл Джеймс Скотт</t>
  </si>
  <si>
    <t>Как писать блестящие диалоги в романах и сценариях</t>
  </si>
  <si>
    <t>NNN2105217-P</t>
  </si>
  <si>
    <t>978-5-00139-289-7</t>
  </si>
  <si>
    <t>Биали Шэрон</t>
  </si>
  <si>
    <t>Кинопробы: Руководство для актеров от голливудского кастинг-директора</t>
  </si>
  <si>
    <t>NNN1909031-P</t>
  </si>
  <si>
    <t>978-5-00139-213-2</t>
  </si>
  <si>
    <t>Марков Максим, Звягинцев Андрей</t>
  </si>
  <si>
    <t>Левиафан. Разбор по косточкам</t>
  </si>
  <si>
    <t>PGR2211205-P</t>
  </si>
  <si>
    <t>978-5-206-00151-8</t>
  </si>
  <si>
    <t>Легкий текст: Как писать тексты, которые интересно читать и приятно слушать</t>
  </si>
  <si>
    <t>AAA2407109-P</t>
  </si>
  <si>
    <t>978-5-9614-7918-8</t>
  </si>
  <si>
    <t>Коэн Лола</t>
  </si>
  <si>
    <t>Метод Ли Страсберга: Сборник упражнений по актерскому мастерству</t>
  </si>
  <si>
    <t>NNN2501031-P</t>
  </si>
  <si>
    <t>978-5-91671-850-8</t>
  </si>
  <si>
    <t>Бросалина Любовь</t>
  </si>
  <si>
    <t>Напишите мою книгу! Все тонкости работы с наемным писателем</t>
  </si>
  <si>
    <t>LGI2202065-P</t>
  </si>
  <si>
    <t>978-5-907470-60-6</t>
  </si>
  <si>
    <t>Поляринов Алексей</t>
  </si>
  <si>
    <t>Ночная смена</t>
  </si>
  <si>
    <t>NNP2312088-P</t>
  </si>
  <si>
    <t>978-5-00139-613-0</t>
  </si>
  <si>
    <t>Иванов Игорь</t>
  </si>
  <si>
    <t>Объясняя науку: Руководство для авторов научно-популярных текстов</t>
  </si>
  <si>
    <t>NNN2006113-P</t>
  </si>
  <si>
    <t>978-5-00139-338-2</t>
  </si>
  <si>
    <t>Харрис Чарльз</t>
  </si>
  <si>
    <t>Питч всемогущий: Как доказать, что твой сценарий лучший</t>
  </si>
  <si>
    <t>NNN2011164-P</t>
  </si>
  <si>
    <t>978-5-00139-421-1</t>
  </si>
  <si>
    <t>Апполонов Егор</t>
  </si>
  <si>
    <t>[покет-серия] Пиши рьяно, редактируй резво: Полное руководство по работе над великим романом. Опыт писателей: от Аристотеля до Водолазкина</t>
  </si>
  <si>
    <t>AAA2401098-P</t>
  </si>
  <si>
    <t>978-5-9614-8772-5</t>
  </si>
  <si>
    <t>Сироткин Олег</t>
  </si>
  <si>
    <t>Противоречие. Перевертыш. Парадокс. Курс лекций по сценарному мастерству</t>
  </si>
  <si>
    <t>AAA2102145-P</t>
  </si>
  <si>
    <t>978-5-9614-4093-5</t>
  </si>
  <si>
    <t>Салахиева-Талал Татьяна</t>
  </si>
  <si>
    <t>[покет-серия] Психология в кино: Создание героев и историй</t>
  </si>
  <si>
    <t>NNN2410091-P</t>
  </si>
  <si>
    <t>978-5-00139-932-2</t>
  </si>
  <si>
    <t>Каплан Стив</t>
  </si>
  <si>
    <t>Путь комического героя: Очень серьезная структура очень смешного фильма</t>
  </si>
  <si>
    <t>NNN2208037-P</t>
  </si>
  <si>
    <t>978-5-00139-809-7</t>
  </si>
  <si>
    <t>Бекмамбетов Тимур, Шавловский Константин, Степанов Василий</t>
  </si>
  <si>
    <t>Скринлайф: В поисках нового языка кино</t>
  </si>
  <si>
    <t>AAA1901001-P</t>
  </si>
  <si>
    <t>978-5-9614-7194-6</t>
  </si>
  <si>
    <t>Норт Стив</t>
  </si>
  <si>
    <t>Стендап: 20 лучших формул</t>
  </si>
  <si>
    <t>NNN2405029-P</t>
  </si>
  <si>
    <t>978-5-00139-813-4</t>
  </si>
  <si>
    <t>Текст по полочкам: Краткое пособие по деловой переписке</t>
  </si>
  <si>
    <t>AAA2112159-P</t>
  </si>
  <si>
    <t>978-5-9614-7450-3</t>
  </si>
  <si>
    <t>Диккерс Скотт</t>
  </si>
  <si>
    <t>Уже смешно: Как писать комические тексты</t>
  </si>
  <si>
    <t>NNN2404092-P</t>
  </si>
  <si>
    <t>978-5-00223-344-1</t>
  </si>
  <si>
    <t>Салахиева-Талал Татьяна, Лукшина Юлия, Дзираева Дина</t>
  </si>
  <si>
    <t>Уйти нельзя остаться: Кризисы, выгорание, смыслы и ресурсы в кинопрофессии</t>
  </si>
  <si>
    <t>NNN1910142-P</t>
  </si>
  <si>
    <t>978-5-00139-368-9</t>
  </si>
  <si>
    <t>Сегер Линда, Рейни Джон</t>
  </si>
  <si>
    <t>Это ты мне? Как писать захватывающие диалоги для кино и сцены</t>
  </si>
  <si>
    <t>NNN2209127-P</t>
  </si>
  <si>
    <t>978-5-00139-850-9</t>
  </si>
  <si>
    <t>2.04. Серия "Сценарное и писательское мастерство" (покеты)</t>
  </si>
  <si>
    <t>Седита Скотт</t>
  </si>
  <si>
    <t>[покет] Восемь комедийных характеров: Руководство для сценаристов и актеров</t>
  </si>
  <si>
    <t>NNN2403045-P</t>
  </si>
  <si>
    <t>978-5-00139-126-5</t>
  </si>
  <si>
    <t>[покет] Диалог: Искусство слова для писателей, сценаристов и драматургов</t>
  </si>
  <si>
    <t>NNN2404079-P</t>
  </si>
  <si>
    <t>978-5-00139-145-6</t>
  </si>
  <si>
    <t>Говард Дэвид, Мабли Эдвард</t>
  </si>
  <si>
    <t>[покет-серия] Как работают над сценарием в Южной Калифорнии</t>
  </si>
  <si>
    <t>PGR2410339-P</t>
  </si>
  <si>
    <t>978-5-907394-97-1</t>
  </si>
  <si>
    <t>Талал Александр</t>
  </si>
  <si>
    <t>[покет] Миф и жизнь в кино: Смыслы и инструменты драматургического языка</t>
  </si>
  <si>
    <t>NNN2306001-P</t>
  </si>
  <si>
    <t>978-5-00139-174-6</t>
  </si>
  <si>
    <t>Крон Лиза</t>
  </si>
  <si>
    <t>[покет-серия] С первой фразы: Как увлечь читателя, используя когнитивную психологию</t>
  </si>
  <si>
    <t>AAA2405018-P</t>
  </si>
  <si>
    <t>978-5-9614-2553-6</t>
  </si>
  <si>
    <t>Сегер Линда</t>
  </si>
  <si>
    <t>[покет] Скрытый смысл: Создание подтекста в кино</t>
  </si>
  <si>
    <t>NNN2206018-P</t>
  </si>
  <si>
    <t>978-5-00139-139-5</t>
  </si>
  <si>
    <t>Вольф Юрген</t>
  </si>
  <si>
    <t>[покет] Школа литературного и сценарного мастерства: От замысла до результата: рассказы, романы, статьи, нон-фикшн, сце- нарии, новые медиа</t>
  </si>
  <si>
    <t>NNN2311089-P</t>
  </si>
  <si>
    <t>978-5-00139-138-8</t>
  </si>
  <si>
    <t>03. Научно-популярные книги</t>
  </si>
  <si>
    <t>3.01. Главные книги раздела</t>
  </si>
  <si>
    <t>Сапрыкин Юрий, Бабицкая Варвара, Оборин Лев, Рыжова Полина</t>
  </si>
  <si>
    <t>[2 тома] Полка: О главных книгах русской литературы</t>
  </si>
  <si>
    <t>NNN2412071-P</t>
  </si>
  <si>
    <t>978-5-00139-076-3</t>
  </si>
  <si>
    <t>[Тома 3, 4] Полка: О главных книгах русской литературы</t>
  </si>
  <si>
    <t>NNN2412076-P</t>
  </si>
  <si>
    <t>978-5-00139-822-6</t>
  </si>
  <si>
    <t>Бирд Мэри</t>
  </si>
  <si>
    <t>SPQR: История Древнего Рима</t>
  </si>
  <si>
    <t>NNN2409124-P</t>
  </si>
  <si>
    <t>978-5-00139-011-4</t>
  </si>
  <si>
    <t>Cheshire James , Uberti Oliver</t>
  </si>
  <si>
    <t>Атлас невидимого: Мир, каким мы его не знали</t>
  </si>
  <si>
    <t>PGR2107027-P</t>
  </si>
  <si>
    <t>978-5-206-00023-8</t>
  </si>
  <si>
    <t>[в 2-х книгах] Биология добра и зла. Как наука объясняет наши поступки</t>
  </si>
  <si>
    <t>NNN2410169-P</t>
  </si>
  <si>
    <t>978-5-00139-765-6</t>
  </si>
  <si>
    <t>Сет Анил</t>
  </si>
  <si>
    <t>Быть собой: Новая теория сознания</t>
  </si>
  <si>
    <t>NNN2401009-P</t>
  </si>
  <si>
    <t>978-5-00139-946-9</t>
  </si>
  <si>
    <t>Ергин Дэниел</t>
  </si>
  <si>
    <t>В поисках энергии: Ресурсные войны, новые технологии и будущее энергетики</t>
  </si>
  <si>
    <t>PGR2410062-P</t>
  </si>
  <si>
    <t>978-5-9614-2098-2</t>
  </si>
  <si>
    <t>Вульф Наоми</t>
  </si>
  <si>
    <t>[покет-серия] Вагина: Новая история женской сексуальности</t>
  </si>
  <si>
    <t>NNN2304163-P</t>
  </si>
  <si>
    <t>978-5-00139-061-9</t>
  </si>
  <si>
    <t>Попов Сергей</t>
  </si>
  <si>
    <t>[покет-серия] Все формулы мира: Как математика объясняет законы природы</t>
  </si>
  <si>
    <t>NNN2411089-P</t>
  </si>
  <si>
    <t>978-5-91671-173-8</t>
  </si>
  <si>
    <t>Зыгарь Михаил</t>
  </si>
  <si>
    <t>Вся кремлевская рать: Краткая история современной России</t>
  </si>
  <si>
    <t>LGR2302030-P</t>
  </si>
  <si>
    <t>978-5-206-00034-4</t>
  </si>
  <si>
    <t>LGA2205027-P</t>
  </si>
  <si>
    <t>978-5-9908133-9-7</t>
  </si>
  <si>
    <t>Черчилль Уинстон</t>
  </si>
  <si>
    <t>Вторая мировая война. В 3 книгах</t>
  </si>
  <si>
    <t>NNN2412163-P</t>
  </si>
  <si>
    <t>978-5-91671-933-8</t>
  </si>
  <si>
    <t>Хохбрунн Клаудия, Боттлингер Андреа</t>
  </si>
  <si>
    <t>[обложка] Герои книг на приеме у психотерапевта: Прогулки с врачом по страницам литературных произведений. От Ромео и Джульетты до Гарри Поттера</t>
  </si>
  <si>
    <t>AAA2304093-P</t>
  </si>
  <si>
    <t>978-5-9614-5890-9</t>
  </si>
  <si>
    <t>Добыча:Всемирная история борьбы за нефть, деньги и власть</t>
  </si>
  <si>
    <t>PGR2412292-P</t>
  </si>
  <si>
    <t>978-5-9614-3788-1</t>
  </si>
  <si>
    <t>Решетун Алексей</t>
  </si>
  <si>
    <t>Доказательство по телу: Живые истории судмедэксперта о работе с потерпевшими и подозреваемыми</t>
  </si>
  <si>
    <t>AAA2410277-P</t>
  </si>
  <si>
    <t>978-5-9614-8076-4</t>
  </si>
  <si>
    <t>Коззенс Питер</t>
  </si>
  <si>
    <t>И будет рыдать земля: Как у индейцев отняли Америку</t>
  </si>
  <si>
    <t>NNN2410221-P</t>
  </si>
  <si>
    <t>978-5-00139-365-8</t>
  </si>
  <si>
    <t>Зализняк Андрей</t>
  </si>
  <si>
    <t>Из заметок о любительской лингвистике</t>
  </si>
  <si>
    <t>NNN2412073-P</t>
  </si>
  <si>
    <t>978-5-00139-914-8</t>
  </si>
  <si>
    <t>Протеро  Дональд</t>
  </si>
  <si>
    <t>История Земли в 25 камнях: Геологические тайны и люди, их разгадавшие</t>
  </si>
  <si>
    <t>NNN2111251-P</t>
  </si>
  <si>
    <t>978-5-00139-825-7</t>
  </si>
  <si>
    <t>Как быть стоиком: Античная философия и современная жизнь</t>
  </si>
  <si>
    <t>NNN2412072-P</t>
  </si>
  <si>
    <t>978-5-91671-808-9</t>
  </si>
  <si>
    <t>Каку Митио</t>
  </si>
  <si>
    <t>Квантовое превосходство: Революция в вычислениях, которая изменит всё</t>
  </si>
  <si>
    <t>NNN2412058-P</t>
  </si>
  <si>
    <t>978-5-00139-728-1</t>
  </si>
  <si>
    <t>Зейхан Питер</t>
  </si>
  <si>
    <t>Конец мира - это только начало: Экономика после краха глобализации</t>
  </si>
  <si>
    <t>AAA2409106-P</t>
  </si>
  <si>
    <t>978-5-9614-8248-5</t>
  </si>
  <si>
    <t>[покет-серия] Космос</t>
  </si>
  <si>
    <t>NNN2407238-P</t>
  </si>
  <si>
    <t>978-5-00139-142-5</t>
  </si>
  <si>
    <t>Космос</t>
  </si>
  <si>
    <t>NNN2410219-P</t>
  </si>
  <si>
    <t>978-5-91671-000-7</t>
  </si>
  <si>
    <t>Фицпатрик Шейла</t>
  </si>
  <si>
    <t>Кратчайшая история Советского Союза</t>
  </si>
  <si>
    <t>NNN2304166-P</t>
  </si>
  <si>
    <t>978-5-00139-820-2</t>
  </si>
  <si>
    <t>Джонс Дэн</t>
  </si>
  <si>
    <t>Крестоносцы: Полная история</t>
  </si>
  <si>
    <t>NNN2404212-P</t>
  </si>
  <si>
    <t>978-5-00139-680-2</t>
  </si>
  <si>
    <t>[покет-серия] Кто мы такие? Гены, наше тело, общество</t>
  </si>
  <si>
    <t>NNN2410089-P</t>
  </si>
  <si>
    <t>978-5-00139-275-0</t>
  </si>
  <si>
    <t>Пинкер Стивен</t>
  </si>
  <si>
    <t>Лучшее в нас: Почему насилия в мире стало меньше</t>
  </si>
  <si>
    <t>NNN2304105-P</t>
  </si>
  <si>
    <t>978-5-00139-171-5</t>
  </si>
  <si>
    <t>Орлин Бен</t>
  </si>
  <si>
    <t>Математика с дурацкими рисунками: Идеи, которые формируют нашу реальность</t>
  </si>
  <si>
    <t>NNN2411167-P</t>
  </si>
  <si>
    <t>978-5-00139-339-9</t>
  </si>
  <si>
    <t>[покет] Миф о красоте: Стереотипы против женщин</t>
  </si>
  <si>
    <t>NNN2402110-P</t>
  </si>
  <si>
    <t>978-5-00139-024-4</t>
  </si>
  <si>
    <t>Левитин Дэниел</t>
  </si>
  <si>
    <t>На музыке: Наука о человеческой одержимости звуком</t>
  </si>
  <si>
    <t>NNN2410175-P</t>
  </si>
  <si>
    <t>978-5-91671-994-9</t>
  </si>
  <si>
    <t>Маккей Чарльз</t>
  </si>
  <si>
    <t>Наиболее распространенные заблуждения и безумства толпы</t>
  </si>
  <si>
    <t>PGR2501010-P</t>
  </si>
  <si>
    <t>978-5-907470-90-3</t>
  </si>
  <si>
    <t>Робертс Эндрю</t>
  </si>
  <si>
    <t>Наполеон: биография</t>
  </si>
  <si>
    <t>NNN2309143-P</t>
  </si>
  <si>
    <t>978-5-00139-965-0</t>
  </si>
  <si>
    <t>Йонг Эд</t>
  </si>
  <si>
    <t>Необъятный мир: Как животные ощущают скрытую от нас реальность­</t>
  </si>
  <si>
    <t>NNN2411095-P</t>
  </si>
  <si>
    <t>978-5-00139-869-1</t>
  </si>
  <si>
    <t>Каган Дональд</t>
  </si>
  <si>
    <t>Пелопоннесская война</t>
  </si>
  <si>
    <t>NNN2102054-P</t>
  </si>
  <si>
    <t>978-5-00223-107-2</t>
  </si>
  <si>
    <t>Плантагенеты: Короли и королевы, создавшие Англию</t>
  </si>
  <si>
    <t>NNN2412064-P</t>
  </si>
  <si>
    <t>978-5-00139-079-4</t>
  </si>
  <si>
    <t>Фишер Хелен</t>
  </si>
  <si>
    <t>[покет] Почему мы любим: природа и химия романтической любви</t>
  </si>
  <si>
    <t>NNN2411175-P</t>
  </si>
  <si>
    <t>978-5-91671-861-4</t>
  </si>
  <si>
    <t>Просвещение продолжается: В защиту разума, науки, гуманизма и прогресса</t>
  </si>
  <si>
    <t>N181109</t>
  </si>
  <si>
    <t>978-5-91671-999-4</t>
  </si>
  <si>
    <t>Бессис Давид</t>
  </si>
  <si>
    <t>Путь к сути вещей: Как понять мир с помощью математики</t>
  </si>
  <si>
    <t>AAA2211196-P</t>
  </si>
  <si>
    <t>978-5-9614-8471-7</t>
  </si>
  <si>
    <t>[покет-серия] Разговор с незнакомцем: Почему мы ошибаемся в людях и доверяем лжецам</t>
  </si>
  <si>
    <t>AAA2311039-P</t>
  </si>
  <si>
    <t>978-5-9614-8461-8</t>
  </si>
  <si>
    <t>Хэдфилд Кристофер</t>
  </si>
  <si>
    <t>[покет-серия] Руководство астронавта по жизни на Земле. Чему научили меня 4000 часов на орбите</t>
  </si>
  <si>
    <t>NNN2312117-P</t>
  </si>
  <si>
    <t>978-5-00223-237-6</t>
  </si>
  <si>
    <t>Найман Анатолий</t>
  </si>
  <si>
    <t>Русская поэма</t>
  </si>
  <si>
    <t>NNP2209146-P</t>
  </si>
  <si>
    <t>978-5-00139-851-6</t>
  </si>
  <si>
    <t>Хенрик Джозеф</t>
  </si>
  <si>
    <t>Самые странные в мире: Как люди Запада обрели психологическое своеобразие и чрезвычайно преуспели</t>
  </si>
  <si>
    <t>NNN2011243-P</t>
  </si>
  <si>
    <t>978-5-00223-062-4</t>
  </si>
  <si>
    <t>Энджел Кэтрин</t>
  </si>
  <si>
    <t>Секс в эпоху согласия</t>
  </si>
  <si>
    <t>NNN2309157-P</t>
  </si>
  <si>
    <t>978-5-00139-862-2</t>
  </si>
  <si>
    <t>[обложка с клапанами] Сирийские мистики о любви, страхе, гневе и радости</t>
  </si>
  <si>
    <t>AAA2411207-P</t>
  </si>
  <si>
    <t>978-5-9614-9582-9</t>
  </si>
  <si>
    <t>Стайн Александра</t>
  </si>
  <si>
    <t>Страх, любовь и пропаганда: Механизмы влияния в сектах и тоталитарных системах</t>
  </si>
  <si>
    <t>AAA2411201-P</t>
  </si>
  <si>
    <t>978-5-9614-8764-0</t>
  </si>
  <si>
    <t>[покет-серия] Структура реальности: Наука параллельных вселенных</t>
  </si>
  <si>
    <t>NNN2410172-P</t>
  </si>
  <si>
    <t>978-5-91671-937-6</t>
  </si>
  <si>
    <t>[покет-серия] Счастливая жизнь: Руководство по стоицизму для современного человека</t>
  </si>
  <si>
    <t>NNN2403088-P</t>
  </si>
  <si>
    <t>978-5-00223-305-2</t>
  </si>
  <si>
    <t>[покет-серия] Уравнение Бога: В поисках теории всего</t>
  </si>
  <si>
    <t>NNN2410170-P</t>
  </si>
  <si>
    <t>978-5-00223-067-9</t>
  </si>
  <si>
    <t>[покет-серия] Физика будущего</t>
  </si>
  <si>
    <t>NNN2311195-P</t>
  </si>
  <si>
    <t>978-5-91671-907-9</t>
  </si>
  <si>
    <t>Физика невозможного</t>
  </si>
  <si>
    <t>NNN2408096-P</t>
  </si>
  <si>
    <t>978-5-91671-904-8</t>
  </si>
  <si>
    <t>Кукушкин Николай</t>
  </si>
  <si>
    <t>Хлопок одной ладонью: Как неживая природа породила человеческий разум</t>
  </si>
  <si>
    <t>NNN2410041-P</t>
  </si>
  <si>
    <t>978-5-00139-301-6</t>
  </si>
  <si>
    <t>PRIMUS</t>
  </si>
  <si>
    <t>Маккей Синклер</t>
  </si>
  <si>
    <t>Шифры цивилизации: Коды, секретные послания и тайные знаки в истории человечества</t>
  </si>
  <si>
    <t>AAA2501155-P</t>
  </si>
  <si>
    <t>978-5-9614-8368-0</t>
  </si>
  <si>
    <t>Сизов Андрей</t>
  </si>
  <si>
    <t>Энергетические аспекты международной политики : Тенденции и перспективы</t>
  </si>
  <si>
    <t>PGR2404114-P</t>
  </si>
  <si>
    <t>978-5-206-00294-2</t>
  </si>
  <si>
    <t>Сталкер Нэнси</t>
  </si>
  <si>
    <t>Япония. История и культура: от самураев до манги</t>
  </si>
  <si>
    <t>NNN2410222-P</t>
  </si>
  <si>
    <t>978-5-00139-334-4</t>
  </si>
  <si>
    <t>3.02. Популярная философия, психология, книги Айн Рэнд</t>
  </si>
  <si>
    <t>Травкина Настя</t>
  </si>
  <si>
    <t>Homo Mutabilis: Как наука о мозге помогла мне преодолеть стереотипы, поверить в себя и круто изменить жизнь</t>
  </si>
  <si>
    <t>AAA2102143-P</t>
  </si>
  <si>
    <t>978-5-9614-3846-8</t>
  </si>
  <si>
    <t>[покет-серия] В поисках потока: Психология включенности в повседневность</t>
  </si>
  <si>
    <t>NNN2212157-P</t>
  </si>
  <si>
    <t>978-5-00139-930-8</t>
  </si>
  <si>
    <t>Возвращение примитива: Антииндустриальная революция</t>
  </si>
  <si>
    <t>AAA2410207-P</t>
  </si>
  <si>
    <t>978-5-9614-6253-1</t>
  </si>
  <si>
    <t>Воля и самоконтроль: Как гены и мозг мешают нам бороться с соблазнами</t>
  </si>
  <si>
    <t>NNN2411081-P</t>
  </si>
  <si>
    <t>978-5-00139-477-8</t>
  </si>
  <si>
    <t>Воля к смыслу</t>
  </si>
  <si>
    <t>NNN2410090-P</t>
  </si>
  <si>
    <t>978-5-91671-848-5</t>
  </si>
  <si>
    <t>Голос разума: Философия объективизма. Эссе.</t>
  </si>
  <si>
    <t>AAA2410204-P</t>
  </si>
  <si>
    <t>978-5-9614-7286-8</t>
  </si>
  <si>
    <t>Доктор и душа: Логотерапия и экзистенциальный анализ</t>
  </si>
  <si>
    <t>NNN2412080-P</t>
  </si>
  <si>
    <t>978-5-00139-033-6</t>
  </si>
  <si>
    <t>Клири Скай</t>
  </si>
  <si>
    <t>Жажда подлинности: Как идеи Симоны де Бовуар помогают стать собой</t>
  </si>
  <si>
    <t>NNN2208034-P</t>
  </si>
  <si>
    <t>978-5-00139-808-0</t>
  </si>
  <si>
    <t>Valentish Jenny</t>
  </si>
  <si>
    <t>Зависимая: Реальная история выздоровления</t>
  </si>
  <si>
    <t>NNN2209083-P</t>
  </si>
  <si>
    <t>978-5-00139-847-9</t>
  </si>
  <si>
    <t>Грин Роберт</t>
  </si>
  <si>
    <t>Законы жизни на каждый день</t>
  </si>
  <si>
    <t>AAA2410291-P</t>
  </si>
  <si>
    <t>978-5-9614-7893-8</t>
  </si>
  <si>
    <t>Законы человеческой природы</t>
  </si>
  <si>
    <t>AAA2410021-P</t>
  </si>
  <si>
    <t>978-5-9614-4015-7</t>
  </si>
  <si>
    <t>Барон-Коэн Саймон</t>
  </si>
  <si>
    <t>Искатели закономерностей: Как аутизм способствует человеческой изобретательности</t>
  </si>
  <si>
    <t>NNN2104245-P</t>
  </si>
  <si>
    <t>978-5-00139-800-4</t>
  </si>
  <si>
    <t>Селларс Джон</t>
  </si>
  <si>
    <t>Как жить: Уроки стоицизма от Эпиктета, Сенеки и Марка Аврелия</t>
  </si>
  <si>
    <t>NNN2411090-P</t>
  </si>
  <si>
    <t>978-5-00139-726-7</t>
  </si>
  <si>
    <t>Фарнсворт Уорд</t>
  </si>
  <si>
    <t>Метод Сократа: Искусство задавать вопросы о мире и о себе</t>
  </si>
  <si>
    <t>NNN2410174-P</t>
  </si>
  <si>
    <t>978-5-00223-066-2</t>
  </si>
  <si>
    <t>Готтлиб Энтони</t>
  </si>
  <si>
    <t>Мечта о Просвещении: рассвет философии Нового времени</t>
  </si>
  <si>
    <t>NNN2405047-P</t>
  </si>
  <si>
    <t>978-5-00139-078-7</t>
  </si>
  <si>
    <t>[покет-серия] Мозг Брока. О науке, космосе и человеке</t>
  </si>
  <si>
    <t>NNN2306012-P</t>
  </si>
  <si>
    <t>978-5-00223-056-3</t>
  </si>
  <si>
    <t xml:space="preserve"> Мерсье Уго</t>
  </si>
  <si>
    <t>Не вчера родился: Наука о том, кому мы доверяем и во что верим</t>
  </si>
  <si>
    <t>NNN2011129-P</t>
  </si>
  <si>
    <t>978-5-00139-411-2</t>
  </si>
  <si>
    <t>Кауфман Питер</t>
  </si>
  <si>
    <t>Новое Просвещение и борьба за свободу знания</t>
  </si>
  <si>
    <t>NNN2304189-P</t>
  </si>
  <si>
    <t>978-5-00223-032-7</t>
  </si>
  <si>
    <t>Подсознательный бог: Психотерапия и религия</t>
  </si>
  <si>
    <t>NNN2412070-P</t>
  </si>
  <si>
    <t>978-5-00139-517-1</t>
  </si>
  <si>
    <t>Басс Дэвид</t>
  </si>
  <si>
    <t>Почему мужчины делают это: Корни сексуального обмана, домогательств и насилия</t>
  </si>
  <si>
    <t>NNN2102051-P</t>
  </si>
  <si>
    <t>978-5-00139-756-4</t>
  </si>
  <si>
    <t>Шоу Джулия</t>
  </si>
  <si>
    <t>[покет-серия] Психология зла: Почему человек выбирает темную сторону</t>
  </si>
  <si>
    <t>AAA2411138-P</t>
  </si>
  <si>
    <t>978-5-9614-8591-2</t>
  </si>
  <si>
    <t>Далримпл Теодор</t>
  </si>
  <si>
    <t>Психология убийцы: Откровения тюремного психиатра</t>
  </si>
  <si>
    <t>AAA2207025-P</t>
  </si>
  <si>
    <t>978-5-9614-8132-7</t>
  </si>
  <si>
    <t>Рациональность: Что это, почему нам ее не хватает и чем она важна</t>
  </si>
  <si>
    <t>NNN2303147-P</t>
  </si>
  <si>
    <t>978-5-00139-819-6</t>
  </si>
  <si>
    <t>Кьезара Мария Лоренца</t>
  </si>
  <si>
    <t>Секст как лекарство от тревоги: Чему мы можем научиться у философов-скептиков</t>
  </si>
  <si>
    <t>AAA2312008-P</t>
  </si>
  <si>
    <t>978-5-9614-9493-8</t>
  </si>
  <si>
    <t>Слепян Майкл</t>
  </si>
  <si>
    <t>Скелеты в шкафу: как наша тайная жизнь управляет явной</t>
  </si>
  <si>
    <t>NNN2010183-P</t>
  </si>
  <si>
    <t>978-5-00223-208-6</t>
  </si>
  <si>
    <t>Холл Эдит</t>
  </si>
  <si>
    <t>[покет-серия] Счастье по Аристотелю: Как античная философия может изменить вашу жизнь</t>
  </si>
  <si>
    <t>NNN2211177-P</t>
  </si>
  <si>
    <t>978-5-00139-921-6</t>
  </si>
  <si>
    <t>Кронгауз Екатерина , Бабицкий Андрей</t>
  </si>
  <si>
    <t>Так вышло: 29 вопросов новой этики и морали</t>
  </si>
  <si>
    <t>AAA2006083-P</t>
  </si>
  <si>
    <t>978-5-9614-3797-3</t>
  </si>
  <si>
    <t>Давлатов Саидмурод</t>
  </si>
  <si>
    <t>Талисман победителя</t>
  </si>
  <si>
    <t>PGR2409007-P</t>
  </si>
  <si>
    <t>978-5-9907223-7-8</t>
  </si>
  <si>
    <t>Вейнер Эрик</t>
  </si>
  <si>
    <t>Философский экспресс: Уроки жизни от великих мыслителей</t>
  </si>
  <si>
    <t>NNN2006062-P</t>
  </si>
  <si>
    <t>978-5-00139-454-9</t>
  </si>
  <si>
    <t>Несси Рэндольф</t>
  </si>
  <si>
    <t>[покет-серия] Хорошие плохие чувства: Почему эволюция допускает тревожность, депрессию и другие психические расстройства</t>
  </si>
  <si>
    <t>NNN2412166-P</t>
  </si>
  <si>
    <t>978-5-00139-922-3</t>
  </si>
  <si>
    <t>[обложка] Эффект Люцифера: Почему хорошие люди превращаются в злодеев</t>
  </si>
  <si>
    <t>NNN2411088-P</t>
  </si>
  <si>
    <t>978-5-00139-763-2</t>
  </si>
  <si>
    <t>3.03. Математика, физика, химия</t>
  </si>
  <si>
    <t>Уcпенский Владимир</t>
  </si>
  <si>
    <t>Апология математики</t>
  </si>
  <si>
    <t>NNN2012223-P</t>
  </si>
  <si>
    <t>978-5-91671-735-8</t>
  </si>
  <si>
    <t>Время переменных: Математический анализ в безумном мире</t>
  </si>
  <si>
    <t>NNN2410043-P</t>
  </si>
  <si>
    <t>978-5-00139-422-8</t>
  </si>
  <si>
    <t>Рис Мартин</t>
  </si>
  <si>
    <t>[покет-серия] Всего шесть чисел: Главные силы, формирующие Вселенную</t>
  </si>
  <si>
    <t>NNN2312116-P</t>
  </si>
  <si>
    <t>978-5-00223-236-9</t>
  </si>
  <si>
    <t>Ливио Марио</t>
  </si>
  <si>
    <t>Галилей и отрицатели науки</t>
  </si>
  <si>
    <t>NNN2002005-P</t>
  </si>
  <si>
    <t>978-5-00139-305-4</t>
  </si>
  <si>
    <t>Книги Политеха</t>
  </si>
  <si>
    <t>Гбур Грегори</t>
  </si>
  <si>
    <t>Загадка падающей кошки и фундаментальная физика</t>
  </si>
  <si>
    <t>NNN1910072-P</t>
  </si>
  <si>
    <t>978-5-00139-265-1</t>
  </si>
  <si>
    <t>Как ломаются спагетти и другие задачи по физике</t>
  </si>
  <si>
    <t>NNN1808003-P</t>
  </si>
  <si>
    <t>978-5-00139-531-7</t>
  </si>
  <si>
    <t>Научно-популярные задачи</t>
  </si>
  <si>
    <t>Жизан Николя</t>
  </si>
  <si>
    <t>[покет-серия] Квантовая случайность: Нелокальность, телепортация и другие квантовые чудеса</t>
  </si>
  <si>
    <t>NNN2403087-P</t>
  </si>
  <si>
    <t>978-5-00223-304-5</t>
  </si>
  <si>
    <t>Яу Шинтун, Надис Стив</t>
  </si>
  <si>
    <t>Контур жизни: Математик в поиске скрытой геометрии Вселенной</t>
  </si>
  <si>
    <t>NNN1901141-P</t>
  </si>
  <si>
    <t>978-5-00139-206-4</t>
  </si>
  <si>
    <t>Вильчек Фрэнк</t>
  </si>
  <si>
    <t>Красота физики: Постигая устройство природы</t>
  </si>
  <si>
    <t>NNN2412156-P</t>
  </si>
  <si>
    <t>978-5-91671-653-5</t>
  </si>
  <si>
    <t>Бенджамин Артур</t>
  </si>
  <si>
    <t>[обложка] Магия математики: Как найти x и зачем это нужно</t>
  </si>
  <si>
    <t>AAA2502221-P</t>
  </si>
  <si>
    <t>978-5-9614-8559-2</t>
  </si>
  <si>
    <t>Математические игры с дурацкими рисунками: 75 ¼ простых, но требующих сообразительности игр, в которые можно играть где угодно</t>
  </si>
  <si>
    <t>NNN2410039-P</t>
  </si>
  <si>
    <t>978-5-00139-647-5</t>
  </si>
  <si>
    <t>Виллен Жак, Варламов Андрей , Ригамонти Аттилио</t>
  </si>
  <si>
    <t>Физика повседневности: от мыльных пузырей до квантовых технологий</t>
  </si>
  <si>
    <t>NNN2401018-P</t>
  </si>
  <si>
    <t>978-5-00139-107-4</t>
  </si>
  <si>
    <t>Уоринг Крис</t>
  </si>
  <si>
    <t>Формулы на все случаи жизни: Как математика помогает выходить из сложных ситуаций</t>
  </si>
  <si>
    <t>AAA2205145-P</t>
  </si>
  <si>
    <t>978-5-9614-7818-1</t>
  </si>
  <si>
    <t>Леенсон Илья</t>
  </si>
  <si>
    <t>Четыре дамы и молодой человек в вакууме: Нестандартные задачи обо всем на свете</t>
  </si>
  <si>
    <t>NNN2409133-P</t>
  </si>
  <si>
    <t>978-5-00139-561-4</t>
  </si>
  <si>
    <t>Гриббин Джон</t>
  </si>
  <si>
    <t>[покет-серия] Шесть невозможностей: Загадки квантового мира</t>
  </si>
  <si>
    <t>NNN2404022-P</t>
  </si>
  <si>
    <t>978-5-00223-392-2</t>
  </si>
  <si>
    <t>Это база: Зачем нужна математика в повседневной жизни</t>
  </si>
  <si>
    <t>NNN2412059-P</t>
  </si>
  <si>
    <t>978-5-00139-576-8</t>
  </si>
  <si>
    <t>3.04. Биология и палеонтология</t>
  </si>
  <si>
    <t>Шестова Ольга, Иноземцев Лев</t>
  </si>
  <si>
    <t>[покет-серия] 30 нобелевских премий: Открытия, изменившие медицину</t>
  </si>
  <si>
    <t>NNN2308074-P</t>
  </si>
  <si>
    <t>978-5-00223-120-1</t>
  </si>
  <si>
    <t>Рамирес Айнисса</t>
  </si>
  <si>
    <t>Алхимия и жизнь: Как люди и материалы меняли друг друга</t>
  </si>
  <si>
    <t>NNN2010204-P</t>
  </si>
  <si>
    <t>978-5-00139-762-5</t>
  </si>
  <si>
    <t>Джеймисон Кей</t>
  </si>
  <si>
    <t>Беспокойный ум: Моя победа над биполярным расстройством</t>
  </si>
  <si>
    <t>AAA2410120-P</t>
  </si>
  <si>
    <t>978-5-9614-6178-7</t>
  </si>
  <si>
    <t>Санхи Ли, Синъён Юн</t>
  </si>
  <si>
    <t>Близкие контакты далеких предков: Как эволюционировал наш вид</t>
  </si>
  <si>
    <t>NNN1811187-P</t>
  </si>
  <si>
    <t>978-5-00139-086-2</t>
  </si>
  <si>
    <t>Эллисон Аманда</t>
  </si>
  <si>
    <t>Боль в твоей голове: Откуда она берется и как от нее избавиться</t>
  </si>
  <si>
    <t>NNN2005116-P</t>
  </si>
  <si>
    <t>978-5-91671-958-1</t>
  </si>
  <si>
    <t>Сафина Карл</t>
  </si>
  <si>
    <t>В погоне за черепахой: Путешествие длиной в 200 миллионов лет</t>
  </si>
  <si>
    <t>NNN2011259-P</t>
  </si>
  <si>
    <t>978-5-00139-868-4</t>
  </si>
  <si>
    <t>Животные</t>
  </si>
  <si>
    <t>Воспитание дикости: Как животные создают свою культуру, растят потомство, учат и учатся</t>
  </si>
  <si>
    <t>NNN2008092-P</t>
  </si>
  <si>
    <t>978-5-00139-448-8</t>
  </si>
  <si>
    <t>Гаванде Атул</t>
  </si>
  <si>
    <t>Всё возможное: как врачи спасают наши жизни</t>
  </si>
  <si>
    <t>NNN2003014-P</t>
  </si>
  <si>
    <t>978-5-00139-495-2</t>
  </si>
  <si>
    <t>Майер Эмеран</t>
  </si>
  <si>
    <t>[покет-серия] Второй мозг: Как микробы в кишечнике управляют нашим настроением, решениями и здоровьем</t>
  </si>
  <si>
    <t>NNN2311021-P</t>
  </si>
  <si>
    <t>978-5-00223-204-8</t>
  </si>
  <si>
    <t>Глазами альбатроса</t>
  </si>
  <si>
    <t>NNN2011275-P</t>
  </si>
  <si>
    <t>978-5-00139-692-5</t>
  </si>
  <si>
    <t>Джарен Хоуп</t>
  </si>
  <si>
    <t>Девушка из лаборатории: История о деревьях, науке и любви</t>
  </si>
  <si>
    <t>AAA1809005-P</t>
  </si>
  <si>
    <t>978-5-9614-2884-1</t>
  </si>
  <si>
    <t>Нелихов Антон</t>
  </si>
  <si>
    <t>Динозавры России: Прошлое, настоящее, будущее</t>
  </si>
  <si>
    <t>NNN2401011-P</t>
  </si>
  <si>
    <t>978-5-00139-711-3</t>
  </si>
  <si>
    <t>Клещенко Елена</t>
  </si>
  <si>
    <t>[покет-серия] ДНК и её человек. Краткая история ДНК-идентификации</t>
  </si>
  <si>
    <t>NNN2306056-P</t>
  </si>
  <si>
    <t>978-5-00223-064-8</t>
  </si>
  <si>
    <t>Монтгомери Сай</t>
  </si>
  <si>
    <t>Душа осьминога: Тайны сознания удивительного существа</t>
  </si>
  <si>
    <t>NNN2412069-P</t>
  </si>
  <si>
    <t>978-5-91671-827-0</t>
  </si>
  <si>
    <t>Винарский Максим</t>
  </si>
  <si>
    <t>[покет-серия] Евангелие от LUCA: В поисках общего предка всего живого</t>
  </si>
  <si>
    <t>NNN2302109-P</t>
  </si>
  <si>
    <t>978-5-00139-979-7</t>
  </si>
  <si>
    <t>[покет-серия] Живое и неживое: В поисках определения жизни</t>
  </si>
  <si>
    <t>NNN2212063-P</t>
  </si>
  <si>
    <t>978-5-00139-894-3</t>
  </si>
  <si>
    <t>Полуэктов Михаил</t>
  </si>
  <si>
    <t>[покет-серия] Загадки сна: От бессонницы до летаргии</t>
  </si>
  <si>
    <t>NNN2403143-P</t>
  </si>
  <si>
    <t>978-5-00223-309-0</t>
  </si>
  <si>
    <t>Остерхолм Майкл, Олшейкер  Марк</t>
  </si>
  <si>
    <t>Заклятый враг: Наша война со смертельными инфекциями</t>
  </si>
  <si>
    <t>NNN2003109-P</t>
  </si>
  <si>
    <t>978-5-00139-564-5</t>
  </si>
  <si>
    <t>[обложка] Записки примата: необычайная жизнь ученого среди павианов</t>
  </si>
  <si>
    <t>NNN2411091-P</t>
  </si>
  <si>
    <t>978-5-00223-084-6</t>
  </si>
  <si>
    <t>Цуй Бонни</t>
  </si>
  <si>
    <t>Зачем мы плаваем</t>
  </si>
  <si>
    <t>NNN2103216-P</t>
  </si>
  <si>
    <t>978-5-00139-461-7</t>
  </si>
  <si>
    <t>Бернс Грегори</t>
  </si>
  <si>
    <t>Иллюзия себя: Что говорит нейронаука о нашем самовосприятии</t>
  </si>
  <si>
    <t>NNN2412057-P</t>
  </si>
  <si>
    <t>978-5-00139-899-8</t>
  </si>
  <si>
    <t>Барри Джон</t>
  </si>
  <si>
    <t>Испанка: История самой смертоносной пандемии</t>
  </si>
  <si>
    <t>AAA2410210-P</t>
  </si>
  <si>
    <t>978-5-9614-8546-2</t>
  </si>
  <si>
    <t>Журавлев Андрей</t>
  </si>
  <si>
    <t>Как живые: Двуногие змеи, акулы-зомби и другие исчезнувшие животные</t>
  </si>
  <si>
    <t>NNN2411086-P</t>
  </si>
  <si>
    <t>978-5-00223-082-2</t>
  </si>
  <si>
    <t>Маслэнд Ричард</t>
  </si>
  <si>
    <t>Как мы видим? Нейробиология зрительного восприятия</t>
  </si>
  <si>
    <t>AAA1905018-P</t>
  </si>
  <si>
    <t>978-5-9614-7248-6</t>
  </si>
  <si>
    <t>Как не умереть молодым: Судмедэксперт о смерти, которой можно избежать</t>
  </si>
  <si>
    <t>AAA2410279-P</t>
  </si>
  <si>
    <t>978-5-9614-3606-8</t>
  </si>
  <si>
    <t>Блэк Райли</t>
  </si>
  <si>
    <t>Как умирали динозавры: Убийственный астероид и рождение нового мира</t>
  </si>
  <si>
    <t>NNN2410086-P</t>
  </si>
  <si>
    <t>978-5-00223-256-7</t>
  </si>
  <si>
    <t>Левицкий Михаил</t>
  </si>
  <si>
    <t>[покет-серия] Карнавал молекул: химия необычная и забавная</t>
  </si>
  <si>
    <t>NNN2402049-P</t>
  </si>
  <si>
    <t>978-5-00223-271-0</t>
  </si>
  <si>
    <t>Макфи Росс</t>
  </si>
  <si>
    <t>Конец мегафауны: Увлекательная жизнь и загадочная гибель мамонтов, саблезубых тигров и гигантских ленивцев</t>
  </si>
  <si>
    <t>NNN2412160-P</t>
  </si>
  <si>
    <t>978-5-00139-515-7</t>
  </si>
  <si>
    <t>Кондратова Мария</t>
  </si>
  <si>
    <t>Кривое зеркало жизни: Главные мифы о раке и что современная наука думает о них</t>
  </si>
  <si>
    <t>NNN2411106-P</t>
  </si>
  <si>
    <t>978-5-00139-109-8</t>
  </si>
  <si>
    <t>Престон Ричард</t>
  </si>
  <si>
    <t>Кризис в красной зоне: Самая смертоносная вспышка эболы и эпидемии будущего</t>
  </si>
  <si>
    <t>NNN1912255-P</t>
  </si>
  <si>
    <t>978-5-00139-020-6</t>
  </si>
  <si>
    <t>Лаборатория химических историй: От электрона до молекулярных машин</t>
  </si>
  <si>
    <t>NNN2205108-P</t>
  </si>
  <si>
    <t>978-5-00139-560-7</t>
  </si>
  <si>
    <t>Эрлих  Генрих, Комаров  Сергей</t>
  </si>
  <si>
    <t>[покет-серия] Легко ли плыть в сиропе? Откуда берутся странные научные открытия</t>
  </si>
  <si>
    <t>NNN2310114-P</t>
  </si>
  <si>
    <t>978-5-00223-168-3</t>
  </si>
  <si>
    <t>Кёрк Эдвин</t>
  </si>
  <si>
    <t>Мальчик, который не переставал расти… и другие истории про гены и людей</t>
  </si>
  <si>
    <t>NNN2011113-P</t>
  </si>
  <si>
    <t>978-5-00139-405-1</t>
  </si>
  <si>
    <t>Уэбб Эми, Гессель Эндрю</t>
  </si>
  <si>
    <t>Машина творения: Новые организмы, редактирование генома и лабораторные гамбургеры</t>
  </si>
  <si>
    <t>NNN2112133-P</t>
  </si>
  <si>
    <t>978-5-00139-648-2</t>
  </si>
  <si>
    <t>Мертвый лев: Посмертная биография Дарвина и его идей</t>
  </si>
  <si>
    <t>NNN2305131-P</t>
  </si>
  <si>
    <t>978-5-00223-052-5</t>
  </si>
  <si>
    <t>Годфри-Смит Питер</t>
  </si>
  <si>
    <t>Метазоа: Зарождение разума в животном мире</t>
  </si>
  <si>
    <t>NNN2105213-P</t>
  </si>
  <si>
    <t>978-5-00139-865-3</t>
  </si>
  <si>
    <t>Хайэм Том</t>
  </si>
  <si>
    <t>Мир до нас: Новый взгляд на происхождение человека</t>
  </si>
  <si>
    <t>NNN2101148-P</t>
  </si>
  <si>
    <t>978-5-00139-672-7</t>
  </si>
  <si>
    <t>Слингерленд Эдвард</t>
  </si>
  <si>
    <t>[обложка] Навеселе: Как люди хотели устроить пьянку, а построили цивилизацию</t>
  </si>
  <si>
    <t>NNN2308021-P</t>
  </si>
  <si>
    <t>978-5-00223-116-4</t>
  </si>
  <si>
    <t>Де Вааль Франс</t>
  </si>
  <si>
    <t>Наша внутренняя обезьяна: Двойственная природа человека</t>
  </si>
  <si>
    <t>NNN2404165-P</t>
  </si>
  <si>
    <t>978-5-00139-380-1</t>
  </si>
  <si>
    <t>Невидимый страж: Как иммунитет защищает нас от внешних и внутренних угроз</t>
  </si>
  <si>
    <t>NNN2111062-P</t>
  </si>
  <si>
    <t>978-5-00139-750-2</t>
  </si>
  <si>
    <t>Корнфельт Торилл</t>
  </si>
  <si>
    <t>Неестественный отбор: Генная инженерия и человек будущего</t>
  </si>
  <si>
    <t>Пер. с шв.</t>
  </si>
  <si>
    <t>AAA2010027-P</t>
  </si>
  <si>
    <t>978-5-9614-7516-6</t>
  </si>
  <si>
    <t>Лейланд Кевин</t>
  </si>
  <si>
    <t>Неоконченная симфония Дарвина: Как культура формировала человеческий разум</t>
  </si>
  <si>
    <t>NNN2011276-P</t>
  </si>
  <si>
    <t>978-5-00139-436-5</t>
  </si>
  <si>
    <t>Скейлс Хелен</t>
  </si>
  <si>
    <t>О чём молчат рыбы: Путеводитель по жизни морских обитателей</t>
  </si>
  <si>
    <t>NNN2304065-P</t>
  </si>
  <si>
    <t>978-5-00223-231-4</t>
  </si>
  <si>
    <t>Филатова Ольга</t>
  </si>
  <si>
    <t>Облачно, возможны косатки</t>
  </si>
  <si>
    <t>NNN2409114-P</t>
  </si>
  <si>
    <t>978-5-00139-912-4</t>
  </si>
  <si>
    <t>Стоф Данна</t>
  </si>
  <si>
    <t>Осьминоги, каракатицы, адские вампиры: 500 миллионов лет истории головоногих моллюсков</t>
  </si>
  <si>
    <t>NNN2011273-P</t>
  </si>
  <si>
    <t>978-5-00139-867-7</t>
  </si>
  <si>
    <t>Ястребов Сергей</t>
  </si>
  <si>
    <t>[обложка] От атомов к древу. Введение в современную науку о жизни</t>
  </si>
  <si>
    <t>NNN2412084-P</t>
  </si>
  <si>
    <t>978-5-00139-960-5</t>
  </si>
  <si>
    <t>Лосос Джонатан</t>
  </si>
  <si>
    <t>От саванны до дивана: Эволюционная история кошек</t>
  </si>
  <si>
    <t>NNN2411166-P</t>
  </si>
  <si>
    <t>978-5-00139-947-6</t>
  </si>
  <si>
    <t>Уиллингем Эмили</t>
  </si>
  <si>
    <t>Парадокс пениса: Уроки жизни из мира животных</t>
  </si>
  <si>
    <t>NNN2107053-P</t>
  </si>
  <si>
    <t>978-5-00139-833-2</t>
  </si>
  <si>
    <t>Фаранда Фрэнк</t>
  </si>
  <si>
    <t>[покет-серия] Парадокс страха: Как одержимость безопасностью мешает нам жить</t>
  </si>
  <si>
    <t>NNN2308038-P</t>
  </si>
  <si>
    <t>978-5-00223-118-8</t>
  </si>
  <si>
    <t xml:space="preserve"> Десильва Джереми</t>
  </si>
  <si>
    <t>Первые шаги: Как прямохождение сделало нас людьми</t>
  </si>
  <si>
    <t>NNN2106029-P</t>
  </si>
  <si>
    <t>978-5-00139-917-9</t>
  </si>
  <si>
    <t>Колберт Элизабет</t>
  </si>
  <si>
    <t>Под белым небом: Как человек меняет природу</t>
  </si>
  <si>
    <t>NNN2012210-P</t>
  </si>
  <si>
    <t>978-5-00139-587-4</t>
  </si>
  <si>
    <t>Похождения видов: вампироноги, паукохвосты и другие переходные формы в эволюции животных</t>
  </si>
  <si>
    <t>NNN2407063-P</t>
  </si>
  <si>
    <t>978-5-00223-319-9</t>
  </si>
  <si>
    <t>Линден Дэвид</t>
  </si>
  <si>
    <t>Почему люди разные: Научный взгляд на человеческую индивидуальность</t>
  </si>
  <si>
    <t>NNN2007120-P</t>
  </si>
  <si>
    <t>978-5-00139-462-4</t>
  </si>
  <si>
    <t>Эндресен Кристоффер</t>
  </si>
  <si>
    <t>Почти как мы: Вся правда о свиньях</t>
  </si>
  <si>
    <t>NNN2011274-P</t>
  </si>
  <si>
    <t>978-5-00139-620-8</t>
  </si>
  <si>
    <t>Данн Роб, Санчес Моника</t>
  </si>
  <si>
    <t>Происхождение вкусов: Как любовь к еде сделала нас людьми</t>
  </si>
  <si>
    <t>NNN2311135-P</t>
  </si>
  <si>
    <t>978-5-00223-221-5</t>
  </si>
  <si>
    <t>Никитин Михаил</t>
  </si>
  <si>
    <t>[покет-серия] Происхождение жизни. От туманности до клетки</t>
  </si>
  <si>
    <t>NNN2411087-P</t>
  </si>
  <si>
    <t>978-5-00139-920-9</t>
  </si>
  <si>
    <t>Гриббин Джон, Гриббин Мэри</t>
  </si>
  <si>
    <t>Происхождение эволюции: Идея естественного отбора до и после Дарвина</t>
  </si>
  <si>
    <t>NNN2008089-P</t>
  </si>
  <si>
    <t>978-5-00139-681-9</t>
  </si>
  <si>
    <t>Кершенбаум Арик</t>
  </si>
  <si>
    <t>Путеводитель зоолога по Галактике: Что земные животные могут рассказать об инопланетянах – и о нас самих</t>
  </si>
  <si>
    <t>NNN1912015-P</t>
  </si>
  <si>
    <t>978-5-00139-244-6</t>
  </si>
  <si>
    <t>Фоминых Михаил</t>
  </si>
  <si>
    <t>Пять литров красного: Что необходимо знать о крови, ее болезнях и лечении</t>
  </si>
  <si>
    <t>AAA2303059-P</t>
  </si>
  <si>
    <t>978-5-9614-8740-4</t>
  </si>
  <si>
    <t>Дейвис Кевин</t>
  </si>
  <si>
    <t>Редактируя человечество: Революция CRISPR и новая эра изменения генома</t>
  </si>
  <si>
    <t>NNN2105062-P</t>
  </si>
  <si>
    <t>978-5-00223-117-1</t>
  </si>
  <si>
    <t>авторов Коллектив</t>
  </si>
  <si>
    <t>Рекомендации по проведению стереотаксической лучевой терапии на аппарате «КиберНож»</t>
  </si>
  <si>
    <t>PGR2207118-P</t>
  </si>
  <si>
    <t>978-5-206-00093-1</t>
  </si>
  <si>
    <t>Рэгг Сайкс Ребекка</t>
  </si>
  <si>
    <t>Родня: жизнь, любовь, искусство и смерть неандертальцев</t>
  </si>
  <si>
    <t>NNN2011036-P</t>
  </si>
  <si>
    <t>978-5-00139-790-8</t>
  </si>
  <si>
    <t>Франк-Каменецкий Максим</t>
  </si>
  <si>
    <t>[покет-серия] Самая главная молекула: От структуры ДНК к биомедицине XXI века</t>
  </si>
  <si>
    <t>NNN2310146-P</t>
  </si>
  <si>
    <t>978-5-00223-172-0</t>
  </si>
  <si>
    <t>ПостНаука</t>
  </si>
  <si>
    <t>Алексенко Алексей</t>
  </si>
  <si>
    <t>Секс с учеными: Половое размножение и другие загадки биологии</t>
  </si>
  <si>
    <t>NNN2212158-P</t>
  </si>
  <si>
    <t>978-5-00139-935-3</t>
  </si>
  <si>
    <t>Хейзен Роберт</t>
  </si>
  <si>
    <t>Симфония №6: Углерод и эволюция почти всего</t>
  </si>
  <si>
    <t>NNN1812135-P</t>
  </si>
  <si>
    <t>978-5-00139-283-5</t>
  </si>
  <si>
    <t>Солмс Марк</t>
  </si>
  <si>
    <t>Скрытый источник сознания: В поисках природы субъективного опыта</t>
  </si>
  <si>
    <t>NNN2412159-P</t>
  </si>
  <si>
    <t>978-5-00139-573-7</t>
  </si>
  <si>
    <t>Черчленд Патриция</t>
  </si>
  <si>
    <t>[покет-серия] Совесть: Происхождение нравственной интуиции</t>
  </si>
  <si>
    <t>NNN2311020-P</t>
  </si>
  <si>
    <t>978-5-00223-203-1</t>
  </si>
  <si>
    <t>Варрайч Хайдер</t>
  </si>
  <si>
    <t>Современная смерть: Как медицина изменила уход из жизни</t>
  </si>
  <si>
    <t>NNN1911064-P</t>
  </si>
  <si>
    <t>978-5-00139-364-1</t>
  </si>
  <si>
    <t>Слат Джонатан</t>
  </si>
  <si>
    <t>Совы во льдах: Как спасали самого большого филина в мире</t>
  </si>
  <si>
    <t>NNN2501310-P</t>
  </si>
  <si>
    <t>978-5-00139-866-0</t>
  </si>
  <si>
    <t>07.02.2025</t>
  </si>
  <si>
    <t>Сотворение Земли: Как живые организмы создали наш мир</t>
  </si>
  <si>
    <t>NNN2501269-P</t>
  </si>
  <si>
    <t>978-5-91671-902-4</t>
  </si>
  <si>
    <t>06.02.2025</t>
  </si>
  <si>
    <t>Соколов Александр</t>
  </si>
  <si>
    <t>Странная обезьяна: Куда делась шерсть и почему люди разного цвета</t>
  </si>
  <si>
    <t>NNN2010021-P</t>
  </si>
  <si>
    <t>978-5-00139-302-3</t>
  </si>
  <si>
    <t>Маркел Ховард</t>
  </si>
  <si>
    <t>Тайна жизни: Как Розалинд Франклин, Джеймс Уотсон и Фрэнсис Крик открыли структуру ДНК</t>
  </si>
  <si>
    <t>NNN2111321-P</t>
  </si>
  <si>
    <t>978-5-00139-639-0</t>
  </si>
  <si>
    <t>Хувен Кэрол</t>
  </si>
  <si>
    <t>Тестостерон: гормон, который разделяет и властвует</t>
  </si>
  <si>
    <t>NNN2107090-P</t>
  </si>
  <si>
    <t>978-5-00223-188-1</t>
  </si>
  <si>
    <t>Форти Ричард</t>
  </si>
  <si>
    <t>[покет-серия] Трилобиты. Свидетели эволюции</t>
  </si>
  <si>
    <t>NNN2402111-P</t>
  </si>
  <si>
    <t>978-5-00223-276-5</t>
  </si>
  <si>
    <t>[обложка] Тяжелый случай: Записки хирурга</t>
  </si>
  <si>
    <t>NNN2212197-P</t>
  </si>
  <si>
    <t>978-5-00139-940-7</t>
  </si>
  <si>
    <t>Хёрд Стивен</t>
  </si>
  <si>
    <t>Усоногий рак Чарльза Дарвина и паук Дэвида Боуи: Как научные названия воспевают героев, авантюристов и негодяев</t>
  </si>
  <si>
    <t>NNN2003108-P</t>
  </si>
  <si>
    <t>978-5-91671-992-5</t>
  </si>
  <si>
    <t>Чистый лист. Природа человека. Кто и почему отказывается признавать ее сегодня</t>
  </si>
  <si>
    <t>NNN2301086-P</t>
  </si>
  <si>
    <t>978-5-00139-441-9</t>
  </si>
  <si>
    <t>Что значит быть собакой: И другие открытия в области нейробиологии животных</t>
  </si>
  <si>
    <t>NNN2205152-P</t>
  </si>
  <si>
    <t>978-5-91671-945-1</t>
  </si>
  <si>
    <t>Роуч Мэри</t>
  </si>
  <si>
    <t>Шерсть дыбом: Медведи-взломщики, макаки-мародеры и другие преступники дикой природы</t>
  </si>
  <si>
    <t>NNN2303184-P</t>
  </si>
  <si>
    <t>978-5-91671-432-6</t>
  </si>
  <si>
    <t>Сноуден Фрэнк</t>
  </si>
  <si>
    <t>Эпидемии и общество: от Черной смерти до новейших вирусов</t>
  </si>
  <si>
    <t>NNN2312093-P</t>
  </si>
  <si>
    <t>978-5-00139-313-9</t>
  </si>
  <si>
    <t>Брусатти Стив</t>
  </si>
  <si>
    <t>Эра млекопитающих: Из тени динозавров к мировому господству</t>
  </si>
  <si>
    <t>NNN2001126-P</t>
  </si>
  <si>
    <t>978-5-00139-784-7</t>
  </si>
  <si>
    <t>Эстбю Хильда, Эстбю Ильва</t>
  </si>
  <si>
    <t>[покет-серия] Это мой конек: Наука запоминания и забывания</t>
  </si>
  <si>
    <t>NNN2401081-P</t>
  </si>
  <si>
    <t>978-5-00223-258-1</t>
  </si>
  <si>
    <t>Уильямс Венди</t>
  </si>
  <si>
    <t>Язык бабочек: Как воры, коллекционеры и ученые раскрыли секреты самых красивых насекомых в мире</t>
  </si>
  <si>
    <t>NNN2003142-P</t>
  </si>
  <si>
    <t>978-5-00139-793-9</t>
  </si>
  <si>
    <t>3.05. Новые технологии и футурология</t>
  </si>
  <si>
    <t>Бутл Роджер</t>
  </si>
  <si>
    <t xml:space="preserve"> Искусственный интеллект и экономика : Работа, богатство и благополучие в эпоху мыслящих машин</t>
  </si>
  <si>
    <t>PGR2501212-P</t>
  </si>
  <si>
    <t>978-5-206-00065-8</t>
  </si>
  <si>
    <t>30.01.2025</t>
  </si>
  <si>
    <t>Табернакулов Александр, Койфманн Ян</t>
  </si>
  <si>
    <t>Блокчейн на практике</t>
  </si>
  <si>
    <t>AAA1812053-P</t>
  </si>
  <si>
    <t>978-5-9614-2382-2</t>
  </si>
  <si>
    <t>Будущее разума</t>
  </si>
  <si>
    <t>NNN2501036-P</t>
  </si>
  <si>
    <t>978-5-91671-934-5</t>
  </si>
  <si>
    <t>Будущее человечества: Колонизация Марса, путешествия к звездам и обретение бессмертия</t>
  </si>
  <si>
    <t>NNN2501035-P</t>
  </si>
  <si>
    <t>978-5-00139-053-4</t>
  </si>
  <si>
    <t>Скотт-Морган Питер</t>
  </si>
  <si>
    <t>В шаге от вечности: Как я стал киборгом, чтобы победить смерть</t>
  </si>
  <si>
    <t>AAA1908149-P</t>
  </si>
  <si>
    <t>978-5-9614-7763-4</t>
  </si>
  <si>
    <t>Грант Бенджамин</t>
  </si>
  <si>
    <t>Вид сверху. Таймлапс: Как человек меняет Землю</t>
  </si>
  <si>
    <t>PGR2107125-P</t>
  </si>
  <si>
    <t>978-5-206-00024-5</t>
  </si>
  <si>
    <t>Форд Мартин</t>
  </si>
  <si>
    <t>Власть роботов: Как подготовиться к неизбежному</t>
  </si>
  <si>
    <t>NNN2010015-P</t>
  </si>
  <si>
    <t>978-5-00139-568-3</t>
  </si>
  <si>
    <t>Минделл Дэвид</t>
  </si>
  <si>
    <t>Восстание машин отменяется! Мифы о роботизации</t>
  </si>
  <si>
    <t>N160804</t>
  </si>
  <si>
    <t>978-5-91671-637-5</t>
  </si>
  <si>
    <t>Берджесс Эндрю</t>
  </si>
  <si>
    <t>Искусственный интеллект — для вашего бизнеса : Руководство по оценке и применению</t>
  </si>
  <si>
    <t>LGA1911115-P</t>
  </si>
  <si>
    <t>978-5-907274-81-5</t>
  </si>
  <si>
    <t>Тополь Эрик</t>
  </si>
  <si>
    <t>Искусственный интеллект в медицине: Как умные технологии меняют подход к лечению</t>
  </si>
  <si>
    <t>AAA1908158-P</t>
  </si>
  <si>
    <t>978-5-9614-2920-6</t>
  </si>
  <si>
    <t>Холмс Уэйн, Бялик Майя, Фейдл Чарльз</t>
  </si>
  <si>
    <t>Искусственный интеллект в образовании : Перспективы и проблемы для преподавания и обучения</t>
  </si>
  <si>
    <t>PGR2404021-P</t>
  </si>
  <si>
    <t>978-5-907534-69-8</t>
  </si>
  <si>
    <t>Маркус Гари, Дэвис Эрнест</t>
  </si>
  <si>
    <t>Искусственный интеллект: перезагрузка : Как создать машинный разум, которому действительно можно доверять</t>
  </si>
  <si>
    <t>LGI2104079-P</t>
  </si>
  <si>
    <t>978-5-907394-93-3</t>
  </si>
  <si>
    <t>Шнайдер Сьюзан</t>
  </si>
  <si>
    <t>Искусственный ты: машинный интеллект и будущее нашего разума</t>
  </si>
  <si>
    <t>NNN2011061-P</t>
  </si>
  <si>
    <t>978-5-00139-415-0</t>
  </si>
  <si>
    <t>Лекун Ян</t>
  </si>
  <si>
    <t>Как учится машина: Революция в области нейронных сетей и глубокого обучения</t>
  </si>
  <si>
    <t>PGR2501084-P</t>
  </si>
  <si>
    <t>978-5-907394-92-6</t>
  </si>
  <si>
    <t>Шнайер Брюс</t>
  </si>
  <si>
    <t>Кибергейт: Как выжить в мире умных вещей</t>
  </si>
  <si>
    <t>PGR2112121-P</t>
  </si>
  <si>
    <t>978-5-907534-61-2</t>
  </si>
  <si>
    <t>Эрнст Вольфганг</t>
  </si>
  <si>
    <t>Кровельная изоляция. Кровельное озеленение. Гидроизоляционные материалы</t>
  </si>
  <si>
    <t>PGR2105196-P</t>
  </si>
  <si>
    <t>978-5-907534-38-4</t>
  </si>
  <si>
    <t>Болл Мэтью</t>
  </si>
  <si>
    <t>Метавселенная: Как она меняет наш мир</t>
  </si>
  <si>
    <t>AAA2203209-P</t>
  </si>
  <si>
    <t>978-5-9614-8036-8</t>
  </si>
  <si>
    <t>Аль-Халили Джим</t>
  </si>
  <si>
    <t>На что похоже будущее? Даже ученые не могут предсказать… или могут?</t>
  </si>
  <si>
    <t>N1804121</t>
  </si>
  <si>
    <t>978-5-00139-095-4</t>
  </si>
  <si>
    <t>Грациано Майкл</t>
  </si>
  <si>
    <t>Наука сознания: Современная теория субъективного опыта</t>
  </si>
  <si>
    <t>NNN1910073-P</t>
  </si>
  <si>
    <t>978-5-00139-208-8</t>
  </si>
  <si>
    <t>Хан Салман</t>
  </si>
  <si>
    <t>Новые миры образования: Трансформация обучения в эпоху искусственного интеллекта</t>
  </si>
  <si>
    <t>PGR2407080-P</t>
  </si>
  <si>
    <t>978-5-206-00384-0</t>
  </si>
  <si>
    <t>Марси Карл</t>
  </si>
  <si>
    <t>Перепрошивка: Как защитить свой мозг в цифровую эпоху</t>
  </si>
  <si>
    <t>NNN2201174-P</t>
  </si>
  <si>
    <t>978-5-00139-669-7</t>
  </si>
  <si>
    <t>Хуан Антонио</t>
  </si>
  <si>
    <t>Переход в облако. Практическое руководство по организации облачных вычислений для ученых и IT-специалистов</t>
  </si>
  <si>
    <t>LGA2101152-P</t>
  </si>
  <si>
    <t>978-5-907470-89-7</t>
  </si>
  <si>
    <t>Мошелла Дэвид</t>
  </si>
  <si>
    <t>Путеводитель по цифровому будущему: Отрасли, организации и профессии</t>
  </si>
  <si>
    <t>AAA1902003-P</t>
  </si>
  <si>
    <t>978-5-9614-3028-8</t>
  </si>
  <si>
    <t>Орбан  Стивен</t>
  </si>
  <si>
    <t>Путешествие к облаку. Советы по использованию облачных технологий от лидеров IT-рынка</t>
  </si>
  <si>
    <t>LGI2007180-P</t>
  </si>
  <si>
    <t>978-5-907470-12-5</t>
  </si>
  <si>
    <t>Сильный искусственный интеллект: На подступах к сверхразуму</t>
  </si>
  <si>
    <t>LGA2011256-P</t>
  </si>
  <si>
    <t>978-5-907394-18-6</t>
  </si>
  <si>
    <t>Рассел Стюарт</t>
  </si>
  <si>
    <t>Совместимость: Как контролировать искусственный интеллект</t>
  </si>
  <si>
    <t>NNN1910098-P</t>
  </si>
  <si>
    <t>978-5-00139-288-0</t>
  </si>
  <si>
    <t>Черешнев Евгений</t>
  </si>
  <si>
    <t>Форма жизни №4: Как остаться человеком в эпоху расцвета искусственного интеллекта</t>
  </si>
  <si>
    <t>AAA2502050-P</t>
  </si>
  <si>
    <t>978-5-9614-7366-7</t>
  </si>
  <si>
    <t>Евгеньев Антон</t>
  </si>
  <si>
    <t>Ценность ваших решений. Как современные технологии и искусственный интеллект меняют наше будущее</t>
  </si>
  <si>
    <t>PGR2307027-P</t>
  </si>
  <si>
    <t>978-5-206-00244-7</t>
  </si>
  <si>
    <t>Скулкин Олег</t>
  </si>
  <si>
    <t>Шифровальщики : Как реагировать на атаки с использованием программ-вымогателей</t>
  </si>
  <si>
    <t>PGR2207035-P</t>
  </si>
  <si>
    <t>978-5-206-00080-1</t>
  </si>
  <si>
    <t>3.06. Астрономия и космонавтика</t>
  </si>
  <si>
    <t>Левин Алексей</t>
  </si>
  <si>
    <t>Белые карлики: будущее Вселенной</t>
  </si>
  <si>
    <t>NNN1912008-P</t>
  </si>
  <si>
    <t>978-5-00139-287-3</t>
  </si>
  <si>
    <t>Батурин Юрий</t>
  </si>
  <si>
    <t>Властелины бесконечности: Космонавт о профессии и судьбе</t>
  </si>
  <si>
    <t>AAA2008158-P</t>
  </si>
  <si>
    <t>978-5-9614-4109-3</t>
  </si>
  <si>
    <t>Голубая точка. Космическое будущее человечества</t>
  </si>
  <si>
    <t>NNN2412077-P</t>
  </si>
  <si>
    <t>978-5-91671-788-4</t>
  </si>
  <si>
    <t>Китинг Брайан</t>
  </si>
  <si>
    <t>Гонка за Нобелем: История о космологии, амбициях и высшей научной награде</t>
  </si>
  <si>
    <t>NNN1808058-P</t>
  </si>
  <si>
    <t>978-5-91671-943-7</t>
  </si>
  <si>
    <t>Грин Брайан</t>
  </si>
  <si>
    <t>До конца времен: Сознание, материя и поиски смысла в меняющейся Вселенной</t>
  </si>
  <si>
    <t>NNN2001077-P</t>
  </si>
  <si>
    <t>978-5-00139-343-6</t>
  </si>
  <si>
    <t>Асфог Эрик</t>
  </si>
  <si>
    <t>[покет-серия] Когда у Земли было две Луны: Планеты-каннибалы, ледяные гиганты, грязевые кометы и другие светила ночного неба</t>
  </si>
  <si>
    <t>NNN2312119-P</t>
  </si>
  <si>
    <t>978-5-00223-239-0</t>
  </si>
  <si>
    <t>Первушин Антон</t>
  </si>
  <si>
    <t>[покет-серия] Космическая мифология: от марсианских атлантов до лунного заговора</t>
  </si>
  <si>
    <t>NNN2304122-P</t>
  </si>
  <si>
    <t>978-5-00223-021-1</t>
  </si>
  <si>
    <t>Уокер Стивен</t>
  </si>
  <si>
    <t>Первый: Новая история Гагарина и космической гонки</t>
  </si>
  <si>
    <t>NNN2411108-P</t>
  </si>
  <si>
    <t>978-5-00139-664-2</t>
  </si>
  <si>
    <t>Лисов Игорь</t>
  </si>
  <si>
    <t>Разведчики внешних планет: путешествие «Пионеров» и «Вояджеров» от Земли до Нептуна и далее</t>
  </si>
  <si>
    <t>NNN2501190-P</t>
  </si>
  <si>
    <t>978-5-00139-335-1</t>
  </si>
  <si>
    <t>Фортескью (под ред.) Питер, Суинерд (под ред.) Грэхэм, Старк (под ред.) Джон</t>
  </si>
  <si>
    <t>Разработка систем космических аппаратов</t>
  </si>
  <si>
    <t>PGR2308170-P</t>
  </si>
  <si>
    <t>978-5-907274-18-1</t>
  </si>
  <si>
    <t>Плейт Филип</t>
  </si>
  <si>
    <t>Смерть с небес: Наука о конце света</t>
  </si>
  <si>
    <t>NNN1912163-P</t>
  </si>
  <si>
    <t>978-5-00139-112-8</t>
  </si>
  <si>
    <t xml:space="preserve"> Собел Дава</t>
  </si>
  <si>
    <t>Стеклянный небосвод: Как женщины Гарвардской обсерватории измерили звезды</t>
  </si>
  <si>
    <t>NNN2203067-P</t>
  </si>
  <si>
    <t>978-5-00139-698-7</t>
  </si>
  <si>
    <t>[покет-серия] Суперобъекты: Звезды размером с город</t>
  </si>
  <si>
    <t>NNN2309193-P</t>
  </si>
  <si>
    <t>978-5-00223-144-7</t>
  </si>
  <si>
    <t>Таскер Элизабет</t>
  </si>
  <si>
    <t>Фабрика планет: Экзопланеты и поиски второй Земли</t>
  </si>
  <si>
    <t>N180902</t>
  </si>
  <si>
    <t>978-5-91671-949-9</t>
  </si>
  <si>
    <t>3.07. История и религиоведение</t>
  </si>
  <si>
    <t>Свейби Рэйчел</t>
  </si>
  <si>
    <t>[покет-серия] 52 упрямые женщины: Ученые, которые изменили мир</t>
  </si>
  <si>
    <t>NNN2403155-P</t>
  </si>
  <si>
    <t>978-5-00223-314-4</t>
  </si>
  <si>
    <t>Бойн Дуглас</t>
  </si>
  <si>
    <t>Аларих, король вестготов: Падение Рима глазами варвара</t>
  </si>
  <si>
    <t>NNN2008091-P</t>
  </si>
  <si>
    <t>978-5-00223-083-9</t>
  </si>
  <si>
    <t>Мерчант Джо</t>
  </si>
  <si>
    <t>Антикитерский механизм: Самое загадочное изобретение Античности</t>
  </si>
  <si>
    <t>NNN2103125-P</t>
  </si>
  <si>
    <t>978-5-00139-487-7</t>
  </si>
  <si>
    <t>Роган Юджин</t>
  </si>
  <si>
    <t>Арабы. История. XVI-XXI вв.</t>
  </si>
  <si>
    <t>NNN2411085-P</t>
  </si>
  <si>
    <t>978-5-91671-990-1</t>
  </si>
  <si>
    <t>Кандаурова Ляля</t>
  </si>
  <si>
    <t>Библейские мотивы: Сюжеты Писания в классической музыке</t>
  </si>
  <si>
    <t>AAA2201173-P</t>
  </si>
  <si>
    <t>978-5-9614-8035-1</t>
  </si>
  <si>
    <t>Десницкий Андрей</t>
  </si>
  <si>
    <t>[покет-серия] Библия: что было «на самом деле»?</t>
  </si>
  <si>
    <t>NNN2409196-P</t>
  </si>
  <si>
    <t>978-5-00223-483-7</t>
  </si>
  <si>
    <t>Курилла Иван</t>
  </si>
  <si>
    <t>Битва за прошлое: Как политика меняет историю</t>
  </si>
  <si>
    <t>AAA2501172-P</t>
  </si>
  <si>
    <t>978-5-9614-7245-5</t>
  </si>
  <si>
    <t>Айлс-Джонстон Сара</t>
  </si>
  <si>
    <t>Боги и смертные: Современное прочтение мифов Древней Греции</t>
  </si>
  <si>
    <t>NNN2306059-P</t>
  </si>
  <si>
    <t>978-5-00223-065-5</t>
  </si>
  <si>
    <t>Бомбардировочная мафия: Мечты о гуманной войне и кровавые будни Второй мировой</t>
  </si>
  <si>
    <t>AAA2103038-P</t>
  </si>
  <si>
    <t>978-5-9614-7492-3</t>
  </si>
  <si>
    <t>Ларсон Эрик</t>
  </si>
  <si>
    <t>В саду чудовищ: Любовь и террор в гитлеровском Берлине</t>
  </si>
  <si>
    <t>AAA2302225-P</t>
  </si>
  <si>
    <t>978-5-9614-8074-0</t>
  </si>
  <si>
    <t>Шор Томас К.</t>
  </si>
  <si>
    <t>В шаге от рая: Правдивая история путешествия тибетского ламы в Страну Бессмертия</t>
  </si>
  <si>
    <t>AAA2104038-P</t>
  </si>
  <si>
    <t>978-5-9614-3937-3</t>
  </si>
  <si>
    <t>Война Алой и Белой розы: Крах Плантагенетов и воцарение Тюдоров</t>
  </si>
  <si>
    <t>NNN2411084-P</t>
  </si>
  <si>
    <t>978-5-00139-816-5</t>
  </si>
  <si>
    <t>Ивик Олег</t>
  </si>
  <si>
    <t>[обложка] Вокруг того света: история и география загробного мира</t>
  </si>
  <si>
    <t>NNN2203034-P</t>
  </si>
  <si>
    <t>978-5-00139-909-4</t>
  </si>
  <si>
    <t>Воображаемый враг: Иноверцы в средневековой иконографии</t>
  </si>
  <si>
    <t>NNN2210123-P</t>
  </si>
  <si>
    <t>978-5-00139-433-4</t>
  </si>
  <si>
    <t>Макардл Мередит</t>
  </si>
  <si>
    <t>Всемирная история в вопросах и ответах</t>
  </si>
  <si>
    <t>NNN2305074-P</t>
  </si>
  <si>
    <t>978-5-00139-167-8</t>
  </si>
  <si>
    <t>NNN2403156-P</t>
  </si>
  <si>
    <t>978-5-00139-198-2</t>
  </si>
  <si>
    <t>История</t>
  </si>
  <si>
    <t>Андрей Шаповалов</t>
  </si>
  <si>
    <t>Говорящие с духами: Мир сибирского шаманизма</t>
  </si>
  <si>
    <t>NNN2410085-P</t>
  </si>
  <si>
    <t>978-5-00223-133-1</t>
  </si>
  <si>
    <t>Горнозаводская цивилизация</t>
  </si>
  <si>
    <t>NNN2410094-P</t>
  </si>
  <si>
    <t>978-5-00139-703-8</t>
  </si>
  <si>
    <t>Иванов Алексей Викторович, Зайцева Юлия</t>
  </si>
  <si>
    <t>Дебри</t>
  </si>
  <si>
    <t>NNN2412067-P</t>
  </si>
  <si>
    <t>978-5-00139-709-0</t>
  </si>
  <si>
    <t>Кикс Пол</t>
  </si>
  <si>
    <t>Диверсант, аристократ, мститель: История графа Ларошфуко, ставшего кошмаром для нацистов во Франции</t>
  </si>
  <si>
    <t>AAA2309138-P</t>
  </si>
  <si>
    <t>978-5-9614-9264-4</t>
  </si>
  <si>
    <t>Вайнен Ричард</t>
  </si>
  <si>
    <t>Долгий '68: радикальный протест и его враги</t>
  </si>
  <si>
    <t>NNN1811099-P</t>
  </si>
  <si>
    <t>978-5-00139-176-0</t>
  </si>
  <si>
    <t>Блэк Моника</t>
  </si>
  <si>
    <t>Земля, одержимая демонами: Ведьмы, целители и призраки прошлого в послевоенной Германии</t>
  </si>
  <si>
    <t>NNN2312090-P</t>
  </si>
  <si>
    <t>978-5-00139-344-3</t>
  </si>
  <si>
    <t>Идол, защищайся! Культ образов и иконоборческое насилие в Средние века</t>
  </si>
  <si>
    <t>NNN2011244-P</t>
  </si>
  <si>
    <t>978-5-00139-817-2</t>
  </si>
  <si>
    <t>[обложка] Изобретено в России: История русской изобретательской мысли от Петра I до Николая II</t>
  </si>
  <si>
    <t>NNN2311088-P</t>
  </si>
  <si>
    <t>978-5-00139-941-4</t>
  </si>
  <si>
    <t>Роуч Леви</t>
  </si>
  <si>
    <t>Империи норманнов: Создатели Европы, завоеватели Азии</t>
  </si>
  <si>
    <t>NNN2412158-P</t>
  </si>
  <si>
    <t>978-5-00139-758-8</t>
  </si>
  <si>
    <t>Гугенхейм Сильвен</t>
  </si>
  <si>
    <t>Империи Средневековья: от Каролингов до Чингизидов</t>
  </si>
  <si>
    <t>NNN2106082-P</t>
  </si>
  <si>
    <t>978-5-00139-426-6</t>
  </si>
  <si>
    <t>[в 3-х книгах] Империя должна умереть: История русских революций в лицах. 1900-1917</t>
  </si>
  <si>
    <t>AAA2410363-P</t>
  </si>
  <si>
    <t>978-5-9614-2186-6</t>
  </si>
  <si>
    <t>Кей Алекс</t>
  </si>
  <si>
    <t>Империя истребления: История массовых убийств, совершенных нацистами</t>
  </si>
  <si>
    <t>NNN2410084-P</t>
  </si>
  <si>
    <t>978-5-00223-371-7</t>
  </si>
  <si>
    <t>Тейлор  Алан Джон Персиваль</t>
  </si>
  <si>
    <t>Истоки Второй мировой войны</t>
  </si>
  <si>
    <t>NNN2305003-P</t>
  </si>
  <si>
    <t>978-5-00223-006-8</t>
  </si>
  <si>
    <t>Лер Питер</t>
  </si>
  <si>
    <t>[обложка] История пиратства: От викингов до наших дней</t>
  </si>
  <si>
    <t>NNN2406069-P</t>
  </si>
  <si>
    <t>978-5-00223-394-6</t>
  </si>
  <si>
    <t>История Средневековья в образах и символах: Увлекательный рассказ о культуре и искусстве эпохи
Комплект книг Михаила Майзульса</t>
  </si>
  <si>
    <t>NNN2310270-C</t>
  </si>
  <si>
    <t>978-5-00223-197-3</t>
  </si>
  <si>
    <t>Сервантес Фернандо</t>
  </si>
  <si>
    <t>Конкистадоры: Новая история открытия и завоевания Америки</t>
  </si>
  <si>
    <t>NNN2410217-P</t>
  </si>
  <si>
    <t>978-5-00139-918-6</t>
  </si>
  <si>
    <t>Пауэр-Штудер Герлинд , Веллеман Дэвид</t>
  </si>
  <si>
    <t>Конрад Морген: Совесть нацистского судьи</t>
  </si>
  <si>
    <t>NNN2008090-P</t>
  </si>
  <si>
    <t>978-5-00139-818-9</t>
  </si>
  <si>
    <t>Жеру Уильям</t>
  </si>
  <si>
    <t>Корабли-призраки: Подвиг и трагедия арктических конвоев Второй мировой</t>
  </si>
  <si>
    <t>NNN2011119-P</t>
  </si>
  <si>
    <t>978-5-00139-805-9</t>
  </si>
  <si>
    <t>Кровь и символы: История человеческих жертвоприношений</t>
  </si>
  <si>
    <t>NNN2209038-P</t>
  </si>
  <si>
    <t>978-5-00139-840-0</t>
  </si>
  <si>
    <t>Хейвуд Джон</t>
  </si>
  <si>
    <t>Люди Севера: История викингов. 793-1241</t>
  </si>
  <si>
    <t>NNN2401015-P</t>
  </si>
  <si>
    <t>978-5-00139-000-8</t>
  </si>
  <si>
    <t>Каргилл-Мартин Онор</t>
  </si>
  <si>
    <t>Мессалина: Распутство, клевета и интриги в императорском Риме</t>
  </si>
  <si>
    <t>NNN2304141-P</t>
  </si>
  <si>
    <t>978-5-00223-025-9</t>
  </si>
  <si>
    <t>[обложка] Мифозои: история и биология мифических животных</t>
  </si>
  <si>
    <t>NNN2407240-P</t>
  </si>
  <si>
    <t>978-5-00223-365-6</t>
  </si>
  <si>
    <t>Льюис Хелен</t>
  </si>
  <si>
    <t>[покет-серия] Неудобные женщины: История феминизма в 11 конфликтах</t>
  </si>
  <si>
    <t>NNN2403154-P</t>
  </si>
  <si>
    <t>978-5-00223-313-7</t>
  </si>
  <si>
    <t>Пострел Вирджиния</t>
  </si>
  <si>
    <t>Нить истории: Как прялка, веретено и ткацкий станок помогли построить цивилизацию</t>
  </si>
  <si>
    <t>NNN2309276-P</t>
  </si>
  <si>
    <t>978-5-91671-428-9</t>
  </si>
  <si>
    <t>О началах и концах света: Рождение и гибель мира в мифологии, религии и науке</t>
  </si>
  <si>
    <t>NNN2309107-P</t>
  </si>
  <si>
    <t>978-5-00223-139-3</t>
  </si>
  <si>
    <t>Уоллес Крис</t>
  </si>
  <si>
    <t>Обратный отсчет: 116 дней до атомной бомбардировки Хиросимы</t>
  </si>
  <si>
    <t>NNN2007278-P</t>
  </si>
  <si>
    <t>978-5-00139-508-9</t>
  </si>
  <si>
    <t>Буайе Паскаль</t>
  </si>
  <si>
    <t>[покет-серия] Объясняя религию: Природа религиозного мышления</t>
  </si>
  <si>
    <t>NNN2312118-P</t>
  </si>
  <si>
    <t>978-5-00223-238-3</t>
  </si>
  <si>
    <t>Кин Сэм</t>
  </si>
  <si>
    <t>Отряд отморозков: Миссия «Алсос» или кто помешал нацистам создать атомную бомбу</t>
  </si>
  <si>
    <t>NNN2007118-P</t>
  </si>
  <si>
    <t>978-5-00139-804-2</t>
  </si>
  <si>
    <t>Керцер Дэвид</t>
  </si>
  <si>
    <t>Папа римский и война: Неизвестная история взаимоотношений Пия XII, Муссолини и Гитлера</t>
  </si>
  <si>
    <t>AAA2212124-P</t>
  </si>
  <si>
    <t>978-5-9614-8573-8</t>
  </si>
  <si>
    <t>Весперини Пьер</t>
  </si>
  <si>
    <t>Переписывая прошлое: Как культура отмены мешает строить будущее</t>
  </si>
  <si>
    <t>AAA2301072-P</t>
  </si>
  <si>
    <t>978-5-9614-8622-3</t>
  </si>
  <si>
    <t>Гиллен Майкл</t>
  </si>
  <si>
    <t>Поверь и увидишь: Путь ученого от атеизма к вере</t>
  </si>
  <si>
    <t>AAA2310268-P</t>
  </si>
  <si>
    <t>978-5-9614-9422-8</t>
  </si>
  <si>
    <t>Бёрк Питер</t>
  </si>
  <si>
    <t>Полимат: История универсальных людей от Леонардо да Винчи до Сьюзен Сонтаг</t>
  </si>
  <si>
    <t>NNN2008088-P</t>
  </si>
  <si>
    <t>978-5-00139-780-9</t>
  </si>
  <si>
    <t>Рубинштейн Джошуа</t>
  </si>
  <si>
    <t>Последние дни Сталина</t>
  </si>
  <si>
    <t>NNN2403042-P</t>
  </si>
  <si>
    <t>978-5-00139-975-9</t>
  </si>
  <si>
    <t>Уорд Люси</t>
  </si>
  <si>
    <t>Прививка для императрицы: Как Екатерина II и Томас Димсдейл спасли Россию от оспы</t>
  </si>
  <si>
    <t>AAA2212126-P</t>
  </si>
  <si>
    <t>978-5-9614-8574-5</t>
  </si>
  <si>
    <t>Кох Альфред, Авен Петр</t>
  </si>
  <si>
    <t>Революция Гайдара: История реформ 90-х из первых рук</t>
  </si>
  <si>
    <t>AAA2405048-P</t>
  </si>
  <si>
    <t>978-5-9614-2594-9</t>
  </si>
  <si>
    <t>Моисеев Вячеслав</t>
  </si>
  <si>
    <t>Репетиция апокалипсиса: Тайная история атомных учений в СССР. Тоцкое-1954</t>
  </si>
  <si>
    <t>AAA2401100-P</t>
  </si>
  <si>
    <t>978-5-9614-9564-5</t>
  </si>
  <si>
    <t>Речфлот</t>
  </si>
  <si>
    <t>NNN2404081-P</t>
  </si>
  <si>
    <t>978-5-00223-119-5</t>
  </si>
  <si>
    <t>Речфлот: История речного флота Российской империи и Советского Союза</t>
  </si>
  <si>
    <t>NNN2401091-P</t>
  </si>
  <si>
    <t>978-5-00223-259-8</t>
  </si>
  <si>
    <t>Фальк Себ</t>
  </si>
  <si>
    <t>Светлые века: Путешествие в мир средневековой науки</t>
  </si>
  <si>
    <t>NNN2304128-P</t>
  </si>
  <si>
    <t>978-5-00139-815-8</t>
  </si>
  <si>
    <t>Рейдер Оливер</t>
  </si>
  <si>
    <t>Семь главных игр в истории человечества: шашки, шахматы, го, нарды, скрабл, покер, бридж</t>
  </si>
  <si>
    <t>NNN2107087-P</t>
  </si>
  <si>
    <t>978-5-00139-787-8</t>
  </si>
  <si>
    <t>Уикхем Крис</t>
  </si>
  <si>
    <t>Средневековая Европа: От падения Рима до Реформации</t>
  </si>
  <si>
    <t>NNN2411178-P</t>
  </si>
  <si>
    <t>978-5-91671-712-9</t>
  </si>
  <si>
    <t>Голованов Василий</t>
  </si>
  <si>
    <t>Тачанки с Юга: История махновского движения</t>
  </si>
  <si>
    <t>NNN2412220-P</t>
  </si>
  <si>
    <t>978-5-00223-355-7</t>
  </si>
  <si>
    <t>Татар Мария</t>
  </si>
  <si>
    <t>Тысячеликая героиня: Женский архетип в мифологии и литературе</t>
  </si>
  <si>
    <t>AAA2501259-P</t>
  </si>
  <si>
    <t>978-5-9614-8653-7</t>
  </si>
  <si>
    <t>Делап Люси</t>
  </si>
  <si>
    <t>Феминизмы: Всемирная история</t>
  </si>
  <si>
    <t>NNN2007177-P</t>
  </si>
  <si>
    <t>978-5-00223-061-7</t>
  </si>
  <si>
    <t>Хребет России</t>
  </si>
  <si>
    <t>NNN2404213-P</t>
  </si>
  <si>
    <t>978-5-00139-705-2</t>
  </si>
  <si>
    <t>Марьясис Дмитрий</t>
  </si>
  <si>
    <t>Хроника с открытым финалом: История палестино-израильского противостояния</t>
  </si>
  <si>
    <t>NNN2312219-P</t>
  </si>
  <si>
    <t>978-5-00223-248-2</t>
  </si>
  <si>
    <t>Халид Адиб</t>
  </si>
  <si>
    <t>Центральная Азия: От века империй до наших дней</t>
  </si>
  <si>
    <t>NNN2410044-P</t>
  </si>
  <si>
    <t>978-5-00139-653-6</t>
  </si>
  <si>
    <t>Ансари Тамим</t>
  </si>
  <si>
    <t>Цивилизация рассказчиков: как истории становятся Историей</t>
  </si>
  <si>
    <t>NNN2412157-P</t>
  </si>
  <si>
    <t>978-5-00223-436-3</t>
  </si>
  <si>
    <t>Ханиотис Ангелос</t>
  </si>
  <si>
    <t>[обложка] Эпоха завоеваний: Греческий мир от Александра до Адриана (336 г. до н.э. — 138 г. н.э.)</t>
  </si>
  <si>
    <t>NNN2303141-P</t>
  </si>
  <si>
    <t>978-5-91671-388-6</t>
  </si>
  <si>
    <t>3.08. Биографии и мемуары</t>
  </si>
  <si>
    <t>Вэйвэй  Ай</t>
  </si>
  <si>
    <t>1000 лет радостей и печалей</t>
  </si>
  <si>
    <t>NNN2106112-P</t>
  </si>
  <si>
    <t>978-5-00139-607-9</t>
  </si>
  <si>
    <t>Шраер Максим Д.</t>
  </si>
  <si>
    <t>Бунин и Набоков: Ученичество — мастерство — соперничество 1917–1977</t>
  </si>
  <si>
    <t>NNN2206147-P</t>
  </si>
  <si>
    <t>978-5-00139-771-7</t>
  </si>
  <si>
    <t>Быть Ивановым: Пятнадцать лет диалога с читателями</t>
  </si>
  <si>
    <t>NNN2001074-P</t>
  </si>
  <si>
    <t>978-5-00139-253-8</t>
  </si>
  <si>
    <t>В ожидании Америки</t>
  </si>
  <si>
    <t>NNN2111076-P</t>
  </si>
  <si>
    <t>978-5-00139-614-7</t>
  </si>
  <si>
    <t>Вилы</t>
  </si>
  <si>
    <t>NNN2304076-P</t>
  </si>
  <si>
    <t>978-5-00139-520-1</t>
  </si>
  <si>
    <t>Град обреченных: Честный репортаж о семи колониях для пожизненно осужденных</t>
  </si>
  <si>
    <t>AAA2412040-P</t>
  </si>
  <si>
    <t>978-5-9614-9014-5</t>
  </si>
  <si>
    <t>Феррари Марко</t>
  </si>
  <si>
    <t>Диктатор, который умер дважды: Невероятная история Антониу Салазара</t>
  </si>
  <si>
    <t>AAA2403074-P</t>
  </si>
  <si>
    <t>978-5-9614-8781-7</t>
  </si>
  <si>
    <t>Оганджанян Александр</t>
  </si>
  <si>
    <t>Дипломаты, футболисты и прочие музыканты</t>
  </si>
  <si>
    <t>PGR2304194-P</t>
  </si>
  <si>
    <t>978-5-206-00218-8</t>
  </si>
  <si>
    <t>Браун Тина</t>
  </si>
  <si>
    <t>Дом Виндзоров: Правда и вымысел о жизни королевской семьи</t>
  </si>
  <si>
    <t>AAA2410195-P</t>
  </si>
  <si>
    <t>978-5-9614-8333-8</t>
  </si>
  <si>
    <t>Ёбург</t>
  </si>
  <si>
    <t>NNN2401103-P</t>
  </si>
  <si>
    <t>978-5-00139-521-8</t>
  </si>
  <si>
    <t xml:space="preserve"> Хамут Изгил Тахир </t>
  </si>
  <si>
    <t>За мной придут ночью: Уйгурский поэт о геноциде в современном Китае</t>
  </si>
  <si>
    <t>AAA2309101-P</t>
  </si>
  <si>
    <t>978-5-9614-9242-2</t>
  </si>
  <si>
    <t>Буковский Владимир</t>
  </si>
  <si>
    <t>И возвращается ветер...</t>
  </si>
  <si>
    <t>AAA2411029-P</t>
  </si>
  <si>
    <t>978-5-9614-9361-0</t>
  </si>
  <si>
    <t>Фельдман Дебора</t>
  </si>
  <si>
    <t>Исход: Возвращение к моим еврейским корням в Берлине</t>
  </si>
  <si>
    <t>AAA2008107-P</t>
  </si>
  <si>
    <t>978-5-9614-7710-8</t>
  </si>
  <si>
    <t>Вассеф Надя</t>
  </si>
  <si>
    <t>Каирские хроники хозяйки книжного магазина</t>
  </si>
  <si>
    <t>AAA2205154-P</t>
  </si>
  <si>
    <t>978-5-9614-7582-1</t>
  </si>
  <si>
    <t>Грандин Тэмпл</t>
  </si>
  <si>
    <t>Картинки в голове: И другие рассказы о моей жизни с аутизмом</t>
  </si>
  <si>
    <t>NNN2103184-P</t>
  </si>
  <si>
    <t>978-5-00139-450-1</t>
  </si>
  <si>
    <t>Пайсинг Марк</t>
  </si>
  <si>
    <t>Крушение «Италии»: История арктической экспедиции Умберто Нобиле</t>
  </si>
  <si>
    <t>NNN2412214-P</t>
  </si>
  <si>
    <t>978-5-00139-950-6</t>
  </si>
  <si>
    <t>Рубик Эрно</t>
  </si>
  <si>
    <t>Кубик Рубика: За гранями головоломки, или Природа творческой мысли</t>
  </si>
  <si>
    <t>LGI2010101-P</t>
  </si>
  <si>
    <t>978-5-907394-81-0</t>
  </si>
  <si>
    <t>Тиге Дженнифер, Зелльмаир Никола</t>
  </si>
  <si>
    <t>Мой дед расстрелял бы меня: История внучки Амона Гёта, коменданта концлагеря Плашов</t>
  </si>
  <si>
    <t>AAA2307015-P</t>
  </si>
  <si>
    <t>978-5-9614-8325-3</t>
  </si>
  <si>
    <t>Гупало Георгий</t>
  </si>
  <si>
    <t>Написанные в истории. Письма, изменившие мир</t>
  </si>
  <si>
    <t>PGR2305134-P</t>
  </si>
  <si>
    <t>978-5-206-00090-0</t>
  </si>
  <si>
    <t>Никогда не сдаваться! Лучшие речи Черчилля</t>
  </si>
  <si>
    <t>NNN2401014-P</t>
  </si>
  <si>
    <t>978-5-00139-451-8</t>
  </si>
  <si>
    <t>Прингл Питер</t>
  </si>
  <si>
    <t>[покет-серия] Николай Вавилов: Ученый, который хотел накормить весь мир и умер от голода</t>
  </si>
  <si>
    <t>AAA2307130-P</t>
  </si>
  <si>
    <t>978-5-9614-9123-4</t>
  </si>
  <si>
    <t>Урбина  Иэн</t>
  </si>
  <si>
    <t>Океан вне закона: Работорговля, пиратство и контрабанда в нейтральных водах</t>
  </si>
  <si>
    <t>NNN2412226-P</t>
  </si>
  <si>
    <t>978-5-00139-497-6</t>
  </si>
  <si>
    <t>Рублев Дмитрий, Дамье Вадим</t>
  </si>
  <si>
    <t>Петр Кропоткин: Жизнь анархиста</t>
  </si>
  <si>
    <t>NNN2409117-P</t>
  </si>
  <si>
    <t>978-5-00139-566-9</t>
  </si>
  <si>
    <t>Лихачёв Дмитрий</t>
  </si>
  <si>
    <t>Письма о добром и прекрасном</t>
  </si>
  <si>
    <t>AAA2406023-P</t>
  </si>
  <si>
    <t>978-5-9614-7030-7</t>
  </si>
  <si>
    <t>Григорьев Георгий</t>
  </si>
  <si>
    <t>ПП Бажов : Графический роман</t>
  </si>
  <si>
    <t>PGR2203136-P</t>
  </si>
  <si>
    <t>978-5-206-00039-9</t>
  </si>
  <si>
    <t>Хайберт Рэй</t>
  </si>
  <si>
    <t>Придворный для толпы: История Айви Ли, который учил мировую элиту слушать людей</t>
  </si>
  <si>
    <t>PGR2304171-P</t>
  </si>
  <si>
    <t>978-5-206-00058-0</t>
  </si>
  <si>
    <t>Гавриш Алексей</t>
  </si>
  <si>
    <t>Семь лет в "Крестах": Тюрьма глазами психиатра</t>
  </si>
  <si>
    <t>NNN2311201-P</t>
  </si>
  <si>
    <t>978-5-00223-013-6</t>
  </si>
  <si>
    <t>Юсеф  Мусаб Хасан , Брэкин Рон</t>
  </si>
  <si>
    <t>[обложка с клапанами] Сын ХАМАСа</t>
  </si>
  <si>
    <t>Строки</t>
  </si>
  <si>
    <t>SAS2402003-P</t>
  </si>
  <si>
    <t>978-5-00216-175-1</t>
  </si>
  <si>
    <t>Сроки. Non-Fiction</t>
  </si>
  <si>
    <t>То, чего нет в моих книгах: Воспоминания</t>
  </si>
  <si>
    <t>NNN2406080-P</t>
  </si>
  <si>
    <t>978-5-00139-743-4</t>
  </si>
  <si>
    <t>Арьев Андрей, Скульская Елена, Генис Александр</t>
  </si>
  <si>
    <t>Три города Сергея Довлатова</t>
  </si>
  <si>
    <t>NNN2101132-P</t>
  </si>
  <si>
    <t>978-5-00139-321-4</t>
  </si>
  <si>
    <t>Али Тарик</t>
  </si>
  <si>
    <t>Уинстон Черчилль: Его эпоха, его преступления</t>
  </si>
  <si>
    <t>NNN2203137-P</t>
  </si>
  <si>
    <t>978-5-00139-712-0</t>
  </si>
  <si>
    <t>Хард &amp; софт: Как создавался российский рынок информационных технологий</t>
  </si>
  <si>
    <t>AAA2105134-P</t>
  </si>
  <si>
    <t>978-5-9614-7432-9</t>
  </si>
  <si>
    <t>Хиггинботам Адам</t>
  </si>
  <si>
    <t>[обложка] Чернобыль: История катастрофы</t>
  </si>
  <si>
    <t>NNN2410220-P</t>
  </si>
  <si>
    <t>978-5-00139-958-2</t>
  </si>
  <si>
    <t>Рикс Томас</t>
  </si>
  <si>
    <t>Черчилль и Оруэлл: Битва за свободу</t>
  </si>
  <si>
    <t>NNN2208138-P</t>
  </si>
  <si>
    <t>978-5-00139-085-5</t>
  </si>
  <si>
    <t>Бриджес Джефф, Глассман Берни</t>
  </si>
  <si>
    <t>Чувак и мастер дзен</t>
  </si>
  <si>
    <t>AAA2010042-P</t>
  </si>
  <si>
    <t>978-5-9614-3392-0</t>
  </si>
  <si>
    <t>3.09. Лингвистика</t>
  </si>
  <si>
    <t>«‎Слово о полку Игореве»‎: Взгляд лингвиста</t>
  </si>
  <si>
    <t>NNN2305029-P</t>
  </si>
  <si>
    <t>978-5-00223-039-6</t>
  </si>
  <si>
    <t>Елиферова Мария</t>
  </si>
  <si>
    <t>#Панталоныфракжилет: Что такое языковые заимствования и как они работают</t>
  </si>
  <si>
    <t>NNN1906016-P</t>
  </si>
  <si>
    <t>978-5-00139-295-8</t>
  </si>
  <si>
    <t>[покет-серия] #Панталоныфракжилет: Что такое языковые заимствования и как они работают</t>
  </si>
  <si>
    <t>NNN2304188-P</t>
  </si>
  <si>
    <t>978-5-00223-031-0</t>
  </si>
  <si>
    <t>Кузнецов Сергей</t>
  </si>
  <si>
    <t>Speak and Write like the Economist. Говори и пиши как the Economist</t>
  </si>
  <si>
    <t>PGR2412142-P</t>
  </si>
  <si>
    <t>978-5-907394-58-2</t>
  </si>
  <si>
    <t>Пиперски Александр</t>
  </si>
  <si>
    <t>[покет-серия] Конструирование языков: От эсперанто до дотракийского</t>
  </si>
  <si>
    <t>NNN2309194-P</t>
  </si>
  <si>
    <t>978-5-00223-145-4</t>
  </si>
  <si>
    <t>Хлюстова Яна</t>
  </si>
  <si>
    <t>Поймать вавилонскую рыбку: Человеческий мозг, нейронные сети и изучение иностранных языков</t>
  </si>
  <si>
    <t>NNN2403044-P</t>
  </si>
  <si>
    <t>978-5-00139-721-2</t>
  </si>
  <si>
    <t>Бурлак Светлана</t>
  </si>
  <si>
    <t>[обложка] Происхождение языка</t>
  </si>
  <si>
    <t>NNN2502081-P</t>
  </si>
  <si>
    <t>978-5-00223-415-8</t>
  </si>
  <si>
    <t>Пиперски Александр, Бердичевский Александр</t>
  </si>
  <si>
    <t>Три склянки пополудни и другие задачи по лингвистике</t>
  </si>
  <si>
    <t>NNN2412066-P</t>
  </si>
  <si>
    <t>978-5-00139-130-2</t>
  </si>
  <si>
    <t>Язык как инстинкт</t>
  </si>
  <si>
    <t>NNN2001038-P</t>
  </si>
  <si>
    <t>978-5-00139-250-7</t>
  </si>
  <si>
    <t>Алпатов Владимир</t>
  </si>
  <si>
    <t>[покет-серия] Языкознание: От Аристотеля до компьютерной лингвистики</t>
  </si>
  <si>
    <t>NNN2301160-P</t>
  </si>
  <si>
    <t>978-5-00223-378-6</t>
  </si>
  <si>
    <t>3.10. Социология и антропология</t>
  </si>
  <si>
    <t>30 лучших коммуникационных проектов ТЭК: Издательский проект национальной премии «КонТЭКст»</t>
  </si>
  <si>
    <t>PGR2204098-P</t>
  </si>
  <si>
    <t>978-5-206-00050-4</t>
  </si>
  <si>
    <t>Рябко Виолетта</t>
  </si>
  <si>
    <t>Zero waste на практике: Как перестать быть источником мусора</t>
  </si>
  <si>
    <t>AAA2104012-P</t>
  </si>
  <si>
    <t>978-5-9614-7412-1</t>
  </si>
  <si>
    <t>Николаев Николай</t>
  </si>
  <si>
    <t>Антиманипулятор: Как построить общество, свободное от манипуляций чиновников</t>
  </si>
  <si>
    <t>PGR2402117-P</t>
  </si>
  <si>
    <t>978-5-6042882-6-9</t>
  </si>
  <si>
    <t>Рейзбих Екатерина</t>
  </si>
  <si>
    <t>Больше, чем коробка: О безграничном потенциале ограниченного пространства</t>
  </si>
  <si>
    <t>AAA2311056-P</t>
  </si>
  <si>
    <t>978-5-9614-4043-0</t>
  </si>
  <si>
    <t>Кропоткин Петр</t>
  </si>
  <si>
    <t>Взаимная помощь: Почему мы эволюционируем, помогая друг другу</t>
  </si>
  <si>
    <t>AAA2307157-P</t>
  </si>
  <si>
    <t>978-5-9614-9136-4</t>
  </si>
  <si>
    <t>Радке Хизер</t>
  </si>
  <si>
    <t>Взгляд назад: Культурная история женских ягодиц</t>
  </si>
  <si>
    <t>NNN2201172-P</t>
  </si>
  <si>
    <t>978-5-00139-666-6</t>
  </si>
  <si>
    <t>Взломать всё: Как сильные мира сего используют уязвимости систем в своих интересах</t>
  </si>
  <si>
    <t>AAA2411216-P</t>
  </si>
  <si>
    <t>978-5-9614-8310-9</t>
  </si>
  <si>
    <t>Тапскотт Дон, Уильямс Энтони Д.</t>
  </si>
  <si>
    <t>Викиномика: Как массовое сотрудничество изменяет все</t>
  </si>
  <si>
    <t>g1804100</t>
  </si>
  <si>
    <t>978-5-6042878-7-3</t>
  </si>
  <si>
    <t>Вне поколений. Новые правила работы и жизни</t>
  </si>
  <si>
    <t>PGR2411097-P</t>
  </si>
  <si>
    <t>978-5-206-00362-8</t>
  </si>
  <si>
    <t>Голубева Наталья</t>
  </si>
  <si>
    <t>Воздух: Неожиданные факты о том, без чего нельзя прожить</t>
  </si>
  <si>
    <t>AAA2110191-P</t>
  </si>
  <si>
    <t>978-5-9614-7808-2</t>
  </si>
  <si>
    <t>Душа квартиры: Советы архитектора по обустройству пространства для работы и жизни</t>
  </si>
  <si>
    <t>AAA2410190-P</t>
  </si>
  <si>
    <t>978-5-9614-8234-8</t>
  </si>
  <si>
    <t>Женщины и Власть: Манифест</t>
  </si>
  <si>
    <t>NNN1901019-P</t>
  </si>
  <si>
    <t>978-5-91671-853-9</t>
  </si>
  <si>
    <t>Новек Бет Симон</t>
  </si>
  <si>
    <t>Как сделать, чтобы государство работало для граждан? Практическое руководство по решению общественных проблем и изменению мира</t>
  </si>
  <si>
    <t>LGA2102130-P</t>
  </si>
  <si>
    <t>978-5-907534-13-1</t>
  </si>
  <si>
    <t>Гринспен Алан</t>
  </si>
  <si>
    <t>Карта и территория: Риск, человеческая природа и проблемы прогнозирования</t>
  </si>
  <si>
    <t>AAA2410037-P</t>
  </si>
  <si>
    <t>978-5-9614-6849-6</t>
  </si>
  <si>
    <t>Харрис Шейн</t>
  </si>
  <si>
    <t>Кибервойн@: Пятый театр военных действий</t>
  </si>
  <si>
    <t>NNN1908122-P</t>
  </si>
  <si>
    <t>978-5-00139-187-6</t>
  </si>
  <si>
    <t>Травкина Настя, Коэн Таня , Иванова Екатерина , Чапаев Артем, Фиолетовое Серое</t>
  </si>
  <si>
    <t>Конец привычного мира: Путеводитель журнала «Нож» по новой этике, новым отношениям и новой справедливости</t>
  </si>
  <si>
    <t>NNN2012271-P</t>
  </si>
  <si>
    <t>978-5-00139-383-2</t>
  </si>
  <si>
    <t>Козловский Борислав</t>
  </si>
  <si>
    <t>Максимальный репост: Как соцсети заставляют нас верить фейковым новостям</t>
  </si>
  <si>
    <t>AAA1811025-P</t>
  </si>
  <si>
    <t>978-5-9614-7108-3</t>
  </si>
  <si>
    <t>Портер Майкл</t>
  </si>
  <si>
    <t>Международная конкуренция. Конкурентные преимущества стран</t>
  </si>
  <si>
    <t>PGR2410151-P</t>
  </si>
  <si>
    <t>978-5-907394-63-6</t>
  </si>
  <si>
    <t>Гёпель Майя</t>
  </si>
  <si>
    <t>Мир после нас: Как не дать планете погибнуть</t>
  </si>
  <si>
    <t>AAA2007291-P</t>
  </si>
  <si>
    <t>978-5-9614-3913-7</t>
  </si>
  <si>
    <t>под редакцией Александры Борисовой-Сале и Яна Плехович</t>
  </si>
  <si>
    <t>Научное волонтерство: Делаем науку вместе</t>
  </si>
  <si>
    <t>NNN2211226-P</t>
  </si>
  <si>
    <t>978-5-00139-854-7</t>
  </si>
  <si>
    <t>Толстой Лев, Басинский Павел</t>
  </si>
  <si>
    <t>[обложка] Не могу молчать: Статьи о войне, насилии, любви, безверии и непротивлении злу. Предисловие Павла Басинского.</t>
  </si>
  <si>
    <t>AAA2410278-P</t>
  </si>
  <si>
    <t>978-5-9614-8099-3</t>
  </si>
  <si>
    <t>[переплет] Не могу молчать: Статьи о войне, насилии, любви, безверии и непротивлении злу. Предисловие Павла Басинского.</t>
  </si>
  <si>
    <t>AAA2409123-P</t>
  </si>
  <si>
    <t>978-5-9614-8323-9</t>
  </si>
  <si>
    <t>Криадо Перес Кэролайн</t>
  </si>
  <si>
    <t>Невидимые женщины:  Почему мы живем в мире, удобном только для мужчин. Неравноправие, основанное на данных.</t>
  </si>
  <si>
    <t>AAA2410026-P</t>
  </si>
  <si>
    <t>978-5-9614-3762-1</t>
  </si>
  <si>
    <t>Титова Анна</t>
  </si>
  <si>
    <t>Невыносимый мусор: Записки военкора мусорной войны</t>
  </si>
  <si>
    <t>AAA2010145-P</t>
  </si>
  <si>
    <t>978-5-9614-6618-8</t>
  </si>
  <si>
    <t>Кольчик Светлана</t>
  </si>
  <si>
    <t>Новая семья: Гостевой брак, лоскутная семья и другие форматы отношений в современном мире</t>
  </si>
  <si>
    <t>AAA2412118-P</t>
  </si>
  <si>
    <t>978-5-9614-8409-0</t>
  </si>
  <si>
    <t>Вельцер Харальд</t>
  </si>
  <si>
    <t>Обыкновенные убийцы: Как система превращает обычных людей в монстров</t>
  </si>
  <si>
    <t>AAA2309105-P</t>
  </si>
  <si>
    <t>978-5-9614-9245-3</t>
  </si>
  <si>
    <t>Предсказуемая иррациональность: Скрытые силы, определяющие наши решения</t>
  </si>
  <si>
    <t>AAA2411031-P</t>
  </si>
  <si>
    <t>978-5-9614-2096-8</t>
  </si>
  <si>
    <t>Фучик Юлиус</t>
  </si>
  <si>
    <t>Репортаж с петлей на шее</t>
  </si>
  <si>
    <t>Пер. с чеш.</t>
  </si>
  <si>
    <t>AAA2410329-P</t>
  </si>
  <si>
    <t>978-5-9614-8576-9</t>
  </si>
  <si>
    <t>Некрасов Дмитрий</t>
  </si>
  <si>
    <t>Социальное неравенство: Альтернативный взгляд</t>
  </si>
  <si>
    <t>LGA2106066-P</t>
  </si>
  <si>
    <t>978-5-907470-25-5</t>
  </si>
  <si>
    <t>Эллард Колин</t>
  </si>
  <si>
    <t>Среда обитания: Как архитектура влияет на наше поведение и самочувствие</t>
  </si>
  <si>
    <t>AAA2410301-P</t>
  </si>
  <si>
    <t>978-5-9614-7018-5</t>
  </si>
  <si>
    <t>Темная сторона изобилия: Как мы изменили климат и что с этим делать дальше</t>
  </si>
  <si>
    <t>AAA1912069-P</t>
  </si>
  <si>
    <t>978-5-9614-7466-4</t>
  </si>
  <si>
    <t>[покет-серия] Ученые скрывают? Мифы XXI века</t>
  </si>
  <si>
    <t>NNN2304123-P</t>
  </si>
  <si>
    <t>978-5-00223-022-8</t>
  </si>
  <si>
    <t>Хоффер Эрик</t>
  </si>
  <si>
    <t>Человек убежденный: Личность, власть и массовые движения</t>
  </si>
  <si>
    <t>PGR2503126-P</t>
  </si>
  <si>
    <t>978-5-6042879-3-4</t>
  </si>
  <si>
    <t>19.03.2025</t>
  </si>
  <si>
    <t>Кунцевич Илья Владимирович</t>
  </si>
  <si>
    <t>Экономическое равновесие: Теория объемной геометрии в экономике</t>
  </si>
  <si>
    <t>g41113</t>
  </si>
  <si>
    <t>978-5-9614-5037-8</t>
  </si>
  <si>
    <t>3.11. Политика, международные отношения</t>
  </si>
  <si>
    <t>Селезнев Павел, Торик Наталья</t>
  </si>
  <si>
    <t>GRавитация : Стратегии и тактики взаимодействия бизнеса и государства</t>
  </si>
  <si>
    <t>PGR2503005-P</t>
  </si>
  <si>
    <t>978-5-206-00424-3</t>
  </si>
  <si>
    <t>Wiki-правительство: Как технологии могут сделать власть лучше, демократию - сильнее, а граждан - влиятельнее</t>
  </si>
  <si>
    <t>LGA2011013-P</t>
  </si>
  <si>
    <t>978-5-9614-1927-6</t>
  </si>
  <si>
    <t>Американцы и все остальные: Истоки и смысл внешней политики США</t>
  </si>
  <si>
    <t>AAA2411200-P</t>
  </si>
  <si>
    <t>978-5-9614-8142-6</t>
  </si>
  <si>
    <t>Все свободны: История о том, как в 1996 году в России закончились выборы</t>
  </si>
  <si>
    <t>AAA2103077-P</t>
  </si>
  <si>
    <t>978-5-9614-3983-0</t>
  </si>
  <si>
    <t>Хейстингс Макс</t>
  </si>
  <si>
    <t>[обложка] Вьетнам. История трагедии. 1945-1975</t>
  </si>
  <si>
    <t>NNN2409115-P</t>
  </si>
  <si>
    <t>978-5-00139-955-1</t>
  </si>
  <si>
    <t>Жоров Вадим</t>
  </si>
  <si>
    <t>Гражданство Израиля : Дорожная карта репатрианта</t>
  </si>
  <si>
    <t>PGR2304035-P</t>
  </si>
  <si>
    <t>978-5-206-00208-9</t>
  </si>
  <si>
    <t>Борозняк Александр</t>
  </si>
  <si>
    <t>Жестокая память: Как Германия преодолевает нацистcкое прошлое</t>
  </si>
  <si>
    <t>AAA2410209-P</t>
  </si>
  <si>
    <t>978-5-9614-8774-9</t>
  </si>
  <si>
    <t>Дуглас Джеймс</t>
  </si>
  <si>
    <t>Зачем убили Джона Кеннеди: Правда, которую важно знать</t>
  </si>
  <si>
    <t>AAA2501168-P</t>
  </si>
  <si>
    <t>978-5-9614-2089-0</t>
  </si>
  <si>
    <t>Фукуяма Фрэнсис</t>
  </si>
  <si>
    <t>Идентичность: Стремление к признанию и политика неприятия</t>
  </si>
  <si>
    <t>AAA2312171-P</t>
  </si>
  <si>
    <t>978-5-9614-2666-3</t>
  </si>
  <si>
    <t>Селезнев Павел, Грива Евгений</t>
  </si>
  <si>
    <t>Индийское притяжение: Бизнес в стране возможностей и контрастов</t>
  </si>
  <si>
    <t>PGR2305095-P</t>
  </si>
  <si>
    <t>978-5-206-00162-4</t>
  </si>
  <si>
    <t>PGR2402192-P</t>
  </si>
  <si>
    <t>978-5-206-00341-3</t>
  </si>
  <si>
    <t>Ланьков  Андрей</t>
  </si>
  <si>
    <t>[обложка] К северу от 38 параллели: Как живут в КНДР</t>
  </si>
  <si>
    <t>NNN2411063-P</t>
  </si>
  <si>
    <t>978-5-00223-234-5</t>
  </si>
  <si>
    <t>Баунов Александр</t>
  </si>
  <si>
    <t>Конец режима: Как закончились три европейские диктатуры</t>
  </si>
  <si>
    <t>AAA2305102-P</t>
  </si>
  <si>
    <t>978-5-9614-8245-4</t>
  </si>
  <si>
    <t>Войтенко Эдуард, Парфенчикова Анастасия</t>
  </si>
  <si>
    <t>Лоббизм и GR: Понятия, функции, инструменты</t>
  </si>
  <si>
    <t>PGR2412251-P</t>
  </si>
  <si>
    <t>978-5-206-00057-3</t>
  </si>
  <si>
    <t>Турунен Ари</t>
  </si>
  <si>
    <t>Памятники не тем: Правители, не заслужившие славы</t>
  </si>
  <si>
    <t>Пер. с фин.</t>
  </si>
  <si>
    <t>AAA2406132-P</t>
  </si>
  <si>
    <t>978-5-9614-2729-5</t>
  </si>
  <si>
    <t>Согомонян Виктор</t>
  </si>
  <si>
    <t>Политика как сюжет. Драматургия современных предвыборных кампаний</t>
  </si>
  <si>
    <t>PGR2501285-P</t>
  </si>
  <si>
    <t>978-5-206-00019-1</t>
  </si>
  <si>
    <t>Травин Дмитрий</t>
  </si>
  <si>
    <t>Почему Россия отстала?  Исторические события, повлиявшие на судьбу страны</t>
  </si>
  <si>
    <t>AAA2412107-P</t>
  </si>
  <si>
    <t>978-5-0063-0013-2</t>
  </si>
  <si>
    <t>Мирчев Александр</t>
  </si>
  <si>
    <t>Пролог : Мегатренд альтернативной энергетики в эпоху соперничества великих держав</t>
  </si>
  <si>
    <t>PGR2107041-P</t>
  </si>
  <si>
    <t>978-5-907534-00-1</t>
  </si>
  <si>
    <t>Линди Сьюзен</t>
  </si>
  <si>
    <t>Разум в тумане войны: Наука и технологии на полях сражений</t>
  </si>
  <si>
    <t>NNN2205157-P</t>
  </si>
  <si>
    <t>978-5-00139-710-6</t>
  </si>
  <si>
    <t>Регулирование GR и лоббизма в России : Статус-кво или поиск новых решений</t>
  </si>
  <si>
    <t>PGR2406186-P</t>
  </si>
  <si>
    <t>978-5-206-00381-9</t>
  </si>
  <si>
    <t>Крастев Иван , Холмс Стивен</t>
  </si>
  <si>
    <t>Свет, обманувший надежды: Почему Запад проигрывает борьбу за демократию</t>
  </si>
  <si>
    <t>AAA2409153-P</t>
  </si>
  <si>
    <t>978-5-9614-3608-2</t>
  </si>
  <si>
    <t>3.12. Серия "История"</t>
  </si>
  <si>
    <t>Армстронг Карен</t>
  </si>
  <si>
    <t>Битва за Бога: история фундаментализма</t>
  </si>
  <si>
    <t>NNN1909172-P</t>
  </si>
  <si>
    <t>978-5-00139-195-1</t>
  </si>
  <si>
    <t>3.13. Серия "Popular Science" (покеты)</t>
  </si>
  <si>
    <t>Маркофф Джон</t>
  </si>
  <si>
    <t>[покет] Homo Roboticus? Люди и машины в поисках взаимопонимания</t>
  </si>
  <si>
    <t>NNN1912080-P</t>
  </si>
  <si>
    <t>978-5-00139-243-9</t>
  </si>
  <si>
    <t>[покет-серия] Гиперпространство: научная одиссея через параллельные миры, дыры во времени и десятое измерение</t>
  </si>
  <si>
    <t>NNN2410173-P</t>
  </si>
  <si>
    <t>978-5-00139-027-5</t>
  </si>
  <si>
    <t>[покет-серия] Достаточно ли мы умны, чтобы судить об уме животных?</t>
  </si>
  <si>
    <t>NNN2402045-P</t>
  </si>
  <si>
    <t>978-5-00139-083-1</t>
  </si>
  <si>
    <t>[покет-серия] Истоки морали. В поисках человеческого у приматов</t>
  </si>
  <si>
    <t>NNN2403011-P</t>
  </si>
  <si>
    <t>978-5-91671-914-7</t>
  </si>
  <si>
    <t>Мартин Роберт</t>
  </si>
  <si>
    <t>[покет] Как мы делаем это: Эволюция и будущее репродуктивного поведения человека</t>
  </si>
  <si>
    <t>NNN2002159-P</t>
  </si>
  <si>
    <t>978-5-00139-271-2</t>
  </si>
  <si>
    <t>Маркус Гари</t>
  </si>
  <si>
    <t>[покет] Клудж: Случайное устройство человеческого мозга, и как это сделало нас теми, кто мы есть</t>
  </si>
  <si>
    <t>NNN1910095-P</t>
  </si>
  <si>
    <t>978-5-00139-432-7</t>
  </si>
  <si>
    <t>Рапай Клотер</t>
  </si>
  <si>
    <t>[покет-серия] Культурный код: Как мы живем, что покупаем и почему</t>
  </si>
  <si>
    <t>AAA2410300-P</t>
  </si>
  <si>
    <t>978-5-9614-9294-1</t>
  </si>
  <si>
    <t>[покет-серия] Мифы об эволюции человека</t>
  </si>
  <si>
    <t>NNN2212114-P</t>
  </si>
  <si>
    <t>978-5-00139-933-9</t>
  </si>
  <si>
    <t>Бразертон Роб</t>
  </si>
  <si>
    <t>[покет-серия] Недоверчивые умы: Чем нас привлекают теории заговоров</t>
  </si>
  <si>
    <t>NNN2308109-P</t>
  </si>
  <si>
    <t>978-5-00139-767-0</t>
  </si>
  <si>
    <t>[покет-серия] Параллельные миры: Об устройстве мироздания, высших измерениях и будущем космоса</t>
  </si>
  <si>
    <t>NNN2412161-P</t>
  </si>
  <si>
    <t>978-5-00139-934-6</t>
  </si>
  <si>
    <t>[покет-серия] Последнее объятие Мамы: Чему нас учат эмоции животных</t>
  </si>
  <si>
    <t>NNN2304186-P</t>
  </si>
  <si>
    <t>978-5-00223-029-7</t>
  </si>
  <si>
    <t>Михайлов Константин</t>
  </si>
  <si>
    <t>[покет-серия] Природа веры: Взаимосвязь религии и окружающей среды</t>
  </si>
  <si>
    <t>AAA2209126-P</t>
  </si>
  <si>
    <t>978-5-9614-8346-8</t>
  </si>
  <si>
    <t>Смит Джонатан</t>
  </si>
  <si>
    <t>[покет] Псевдонаука и паранормальные явления: Критический взгляд</t>
  </si>
  <si>
    <t>NNN2404031-P</t>
  </si>
  <si>
    <t>978-5-00139-063-3</t>
  </si>
  <si>
    <t>[покет-серия] Физика невозможного</t>
  </si>
  <si>
    <t>NNN2309142-P</t>
  </si>
  <si>
    <t>978-5-91671-896-6</t>
  </si>
  <si>
    <t>3.14. Путешествия, страноведение, культурология</t>
  </si>
  <si>
    <t>Моргунова-Петрунько Оксана, Никитина Дарья</t>
  </si>
  <si>
    <t>33 вопроса о шотландском виски</t>
  </si>
  <si>
    <t>LGA2101092-P</t>
  </si>
  <si>
    <t>978-5-907394-95-7</t>
  </si>
  <si>
    <t>Клейн Леонид</t>
  </si>
  <si>
    <t>Бесполезная классика: Почему художественная литература лучше учебников по управлению</t>
  </si>
  <si>
    <t>AAA2112162-P</t>
  </si>
  <si>
    <t>978-5-9614-4119-2</t>
  </si>
  <si>
    <t>Чайка Кайл</t>
  </si>
  <si>
    <t>В поисках минимализма: Стремление к меньшему в живописи, архитектуре и музыке</t>
  </si>
  <si>
    <t>AAA2502137-P</t>
  </si>
  <si>
    <t>978-5-9614-3811-6</t>
  </si>
  <si>
    <t>Кларксон Джереми</t>
  </si>
  <si>
    <t>Вокруг света с Кларксоном. Особенности национальной езды</t>
  </si>
  <si>
    <t>NNN2501277-P</t>
  </si>
  <si>
    <t>978-5-91671-819-5</t>
  </si>
  <si>
    <t>Рейс Тодд</t>
  </si>
  <si>
    <t>Город будущего. Дубай, созданный архитектурой</t>
  </si>
  <si>
    <t>PGR2501081-P</t>
  </si>
  <si>
    <t>978-5-206-00240-9</t>
  </si>
  <si>
    <t>Сандер Сергей</t>
  </si>
  <si>
    <t>Дом за рубежом. Как выбрать, купить и оформить недвижимость в другой стране</t>
  </si>
  <si>
    <t>PGR2102225-P</t>
  </si>
  <si>
    <t>978-5-206-00089-4</t>
  </si>
  <si>
    <t>Стеркс Рул</t>
  </si>
  <si>
    <t>Китайская мысль: от Конфуция до повара Дина</t>
  </si>
  <si>
    <t>NNN2007141-P</t>
  </si>
  <si>
    <t>978-5-00139-788-5</t>
  </si>
  <si>
    <t>Акройд Питер</t>
  </si>
  <si>
    <t>Лондон. Биография</t>
  </si>
  <si>
    <t>AAA2402031-P</t>
  </si>
  <si>
    <t>978-5-9614-8031-3</t>
  </si>
  <si>
    <t>Не только кимчхи: История, культура и повседневная жизнь Кореи</t>
  </si>
  <si>
    <t>NNN2408095-P</t>
  </si>
  <si>
    <t>978-5-00223-233-8</t>
  </si>
  <si>
    <t>Поскетт Джеймс</t>
  </si>
  <si>
    <t>Незападная история науки: Открытия, о которых мы не знали</t>
  </si>
  <si>
    <t>AAA2409109-P</t>
  </si>
  <si>
    <t>978-5-9614-7370-4</t>
  </si>
  <si>
    <t>Хоуп Брэдли, Шек Джастин</t>
  </si>
  <si>
    <t>Нефть и кровь: Беспощадная борьба наследного принца Саудовской Аравии за мировое господство</t>
  </si>
  <si>
    <t>AAA2410109-P</t>
  </si>
  <si>
    <t>978-5-9614-9182-1</t>
  </si>
  <si>
    <t>Демик Барбара</t>
  </si>
  <si>
    <t>[обложка] Повседневная жизнь в Северной Корее</t>
  </si>
  <si>
    <t>NNN2402020-P</t>
  </si>
  <si>
    <t>978-5-00223-265-9</t>
  </si>
  <si>
    <t>Сигов Юрий</t>
  </si>
  <si>
    <t>Сингапур: Восьмое чудо света</t>
  </si>
  <si>
    <t>NNN2402113-P</t>
  </si>
  <si>
    <t>978-5-91671-692-4</t>
  </si>
  <si>
    <t>Фейган Брайан, Дуррани  Надя</t>
  </si>
  <si>
    <t>Что мы делаем в постели: Горизонтальная история человечества</t>
  </si>
  <si>
    <t>NNN2008028-P</t>
  </si>
  <si>
    <t>978-5-00223-279-6</t>
  </si>
  <si>
    <t>3.15. Литературоведение</t>
  </si>
  <si>
    <t>Горпинко Екатерина</t>
  </si>
  <si>
    <t>Стихи и вещи: Как поэты Серебряного века стали иконами стиля</t>
  </si>
  <si>
    <t>NNN2308091-P</t>
  </si>
  <si>
    <t>978-5-00223-122-5</t>
  </si>
  <si>
    <t>3.15. Экология и климат</t>
  </si>
  <si>
    <t>Данн Роб</t>
  </si>
  <si>
    <t>С нами или без нас: Естественная история будущего</t>
  </si>
  <si>
    <t>NNN2108025-P</t>
  </si>
  <si>
    <t>978-5-00139-870-7</t>
  </si>
  <si>
    <t>3.16. Медицина</t>
  </si>
  <si>
    <t>Шифрин Михаил</t>
  </si>
  <si>
    <t>100 рассказов из истории медицины: Величайшие открытия, подвиги и преступления во имя вашего здоровья и долголетия</t>
  </si>
  <si>
    <t>AAA2411195-P</t>
  </si>
  <si>
    <t>978-5-9614-1398-4</t>
  </si>
  <si>
    <t>Макфейл Тереза</t>
  </si>
  <si>
    <t>Аллергия: Жестокие игры иммунитета</t>
  </si>
  <si>
    <t>AAA1912243-P</t>
  </si>
  <si>
    <t>978-5-9614-3272-5</t>
  </si>
  <si>
    <t>Склут Ребекка</t>
  </si>
  <si>
    <t>Бессмертная жизнь Генриетты Лакс</t>
  </si>
  <si>
    <t>NNN2009186-P</t>
  </si>
  <si>
    <t>978-5-00223-094-5</t>
  </si>
  <si>
    <t>Мэннинг Пескин Сара</t>
  </si>
  <si>
    <t>В молекуле от безумия: Истории о том, как ломается мозг</t>
  </si>
  <si>
    <t>AAA2110202-P</t>
  </si>
  <si>
    <t>978-5-9614-7697-2</t>
  </si>
  <si>
    <t>Ивашков Владимир</t>
  </si>
  <si>
    <t>Всё о груди: Путеводитель по выдающейся части тела</t>
  </si>
  <si>
    <t>AAA2403014-P</t>
  </si>
  <si>
    <t>978-5-9614-8705-3</t>
  </si>
  <si>
    <t>Скиллаче Брэнди</t>
  </si>
  <si>
    <t>Головы профессора Уайта: Невероятная история нейрохирурга, который пытался пересадить человеческую голову</t>
  </si>
  <si>
    <t>AAA2008148-P</t>
  </si>
  <si>
    <t>978-5-9614-6444-3</t>
  </si>
  <si>
    <t>Лесков Иван</t>
  </si>
  <si>
    <t>Дышите носом: Что нужно знать о современных методах лечения болезней носа</t>
  </si>
  <si>
    <t>AAA2202208-P</t>
  </si>
  <si>
    <t>978-5-9614-7826-6</t>
  </si>
  <si>
    <t>Младова Елена</t>
  </si>
  <si>
    <t>Желанный ребенок: Что делать, если не получается. Мифы и правда об ЭКО, бесплодии и репродуктивном здоровье</t>
  </si>
  <si>
    <t>AAA2305135-P</t>
  </si>
  <si>
    <t>978-5-9614-8995-8</t>
  </si>
  <si>
    <t>Ламас Даниэла</t>
  </si>
  <si>
    <t>[покет-серия] Жизнь взаймы:  Рассказы врача-реаниматолога о людях, получивших второй шанс</t>
  </si>
  <si>
    <t>AAA2401193-P</t>
  </si>
  <si>
    <t>978-5-9614-9589-8</t>
  </si>
  <si>
    <t>Агинян Марат</t>
  </si>
  <si>
    <t>Зависимость и ее человек: записки психиатра-нарколога</t>
  </si>
  <si>
    <t>NNN2411065-P</t>
  </si>
  <si>
    <t>978-5-00139-992-6</t>
  </si>
  <si>
    <t>Лемоль Джеральд</t>
  </si>
  <si>
    <t>[покет-серия] Лимфа и долголетие: Путь к укреплению иммунитета и предупреждению болезней</t>
  </si>
  <si>
    <t>AAA2410308-P</t>
  </si>
  <si>
    <t>978-5-9614-9641-3</t>
  </si>
  <si>
    <t>Пациентология: Ждуны, лгуны и «мне только спросить»</t>
  </si>
  <si>
    <t>AAA2412115-P</t>
  </si>
  <si>
    <t>978-5-0063-0071-2</t>
  </si>
  <si>
    <t>Полезная книга о лишнем и вредном: Как прекратить бороться с собой, понять свой организм и начать питаться правильно</t>
  </si>
  <si>
    <t>AAA1912169-P</t>
  </si>
  <si>
    <t>978-5-9614-4031-7</t>
  </si>
  <si>
    <t>Липска Барбара, Макардл Элейн</t>
  </si>
  <si>
    <t>Потерявшая разум: Откровенная история нейроученого о болезни, надежде и возвращении</t>
  </si>
  <si>
    <t>AAA2006133-P</t>
  </si>
  <si>
    <t>978-5-9614-7838-9</t>
  </si>
  <si>
    <t>AAA2009127-P</t>
  </si>
  <si>
    <t>978-5-9614-4061-4</t>
  </si>
  <si>
    <t>Стивен Майкл</t>
  </si>
  <si>
    <t>С каждым вдохом: Удивительная история наших легких</t>
  </si>
  <si>
    <t>NNN2008141-P</t>
  </si>
  <si>
    <t>978-5-00223-193-5</t>
  </si>
  <si>
    <t>Сердце, которое мы не знаем: История важнейших открытий и будущее лечения сердечно-сосудистых заболеваний</t>
  </si>
  <si>
    <t>AAA1910082-P</t>
  </si>
  <si>
    <t>978-5-9614-3065-3</t>
  </si>
  <si>
    <t>Захид Васим</t>
  </si>
  <si>
    <t>Сердце: Как помочь нашему внутреннему мотору работать дольше</t>
  </si>
  <si>
    <t>AAA1811159-P</t>
  </si>
  <si>
    <t>978-5-9614-2152-1</t>
  </si>
  <si>
    <t>Кордейро Хосе Луис, Вуд Дэвид</t>
  </si>
  <si>
    <t>Смерть должна умереть: Наука в борьбе за наше бессмертие (черная обложка)</t>
  </si>
  <si>
    <t>AAA2006118-P</t>
  </si>
  <si>
    <t>978-5-9614-3809-3</t>
  </si>
  <si>
    <t>Абрамов Юрий</t>
  </si>
  <si>
    <t>Спасать жизни — моя профессия. Воспоминания советского хирурга</t>
  </si>
  <si>
    <t>AAA1909171-P</t>
  </si>
  <si>
    <t>978-5-9614-2982-4</t>
  </si>
  <si>
    <t>Бригам Кеннет, Джонс Майкл</t>
  </si>
  <si>
    <t>Хороший доктор: Как найти своего врача и выжить</t>
  </si>
  <si>
    <t>AAA2101138-P</t>
  </si>
  <si>
    <t>978-5-9614-2543-7</t>
  </si>
  <si>
    <t>3.19. Криминальные истории</t>
  </si>
  <si>
    <t>Сулим Саша</t>
  </si>
  <si>
    <t>[обложка] Безлюдное место: Как ловят маньяков в России</t>
  </si>
  <si>
    <t>AAA2404189-P</t>
  </si>
  <si>
    <t>978-5-9614-8493-9</t>
  </si>
  <si>
    <t>[обложка] Громкие дела: Преступления и наказания в СССР</t>
  </si>
  <si>
    <t>AAA2501043-P</t>
  </si>
  <si>
    <t>978-5-9614-8561-5</t>
  </si>
  <si>
    <t>Кому на Руси сидеть хорошо: Как устроены тюрьмы в современной России</t>
  </si>
  <si>
    <t>AAA2412020-P</t>
  </si>
  <si>
    <t>978-5-9614-9231-6</t>
  </si>
  <si>
    <t>Серийный убийца рядом: Двойная жизнь самых известных маньяков</t>
  </si>
  <si>
    <t>AAA2310141-P</t>
  </si>
  <si>
    <t>978-5-9614-9360-3</t>
  </si>
  <si>
    <t>Толти Стефан</t>
  </si>
  <si>
    <t>[обложка с клапанами] Черная рука: Война между блестящим детективом и самым смертоносным тайным обществом в истории Америки</t>
  </si>
  <si>
    <t>SAS2312192-P</t>
  </si>
  <si>
    <t>978-5-00216-157-7</t>
  </si>
  <si>
    <t>04. Бизнес</t>
  </si>
  <si>
    <t>4.01. Главные книги раздела</t>
  </si>
  <si>
    <t>Сильвер Брюс</t>
  </si>
  <si>
    <t>BPMN — Метод и стиль. Второе издание</t>
  </si>
  <si>
    <t>ZGZ2408010-P</t>
  </si>
  <si>
    <t>978-601-82155-0-6</t>
  </si>
  <si>
    <t>Лайкер Джеффри</t>
  </si>
  <si>
    <t>Дао Toyota: 14 принципов менеджмента ведущей компании мира 2-е издание</t>
  </si>
  <si>
    <t>TGR2501224-P</t>
  </si>
  <si>
    <t>978-5-6047582-0-5</t>
  </si>
  <si>
    <t>Бехар Говард</t>
  </si>
  <si>
    <t>Дело не в кофе: Корпоративная культура Starbucks</t>
  </si>
  <si>
    <t>AAA2410111-P</t>
  </si>
  <si>
    <t>978-5-9614-8621-6</t>
  </si>
  <si>
    <t>Шульц Говард, Йенг Дори Джонс</t>
  </si>
  <si>
    <t>Как чашка за чашкой строилась Starbucks</t>
  </si>
  <si>
    <t>AAA2403138-P</t>
  </si>
  <si>
    <t>978-5-9614-6990-5</t>
  </si>
  <si>
    <t>Таранов Вячеслав</t>
  </si>
  <si>
    <t>Краткая энциклопедия болезней бизнеса : Диагностика и методы лечения</t>
  </si>
  <si>
    <t>PGR2407132-P</t>
  </si>
  <si>
    <t>978-5-206-00190-7</t>
  </si>
  <si>
    <t>Перескокова Марина</t>
  </si>
  <si>
    <t>Мама, я тимлид! Практические советы по руководству IT-командой</t>
  </si>
  <si>
    <t>AAA2410016-P</t>
  </si>
  <si>
    <t>978-5-9614-7244-8</t>
  </si>
  <si>
    <t>Гривин Марк, Ип Джордж, Вей Вей</t>
  </si>
  <si>
    <t>Новаторы Поднебесной. Как китайский бизнес покоряет мир</t>
  </si>
  <si>
    <t>PGR2412092-P</t>
  </si>
  <si>
    <t>978-5-6047842-0-4</t>
  </si>
  <si>
    <t>Остервальдер Александр, Пинье Ив</t>
  </si>
  <si>
    <t>Построение бизнес-моделей: Настольная книга стратега и новатора</t>
  </si>
  <si>
    <t>AAA2411144-P</t>
  </si>
  <si>
    <t>978-5-9614-7075-8</t>
  </si>
  <si>
    <t>Бирюков Сергей</t>
  </si>
  <si>
    <t>Разумное страхование. Актуальные рыночные практики</t>
  </si>
  <si>
    <t>PGR2409145-P</t>
  </si>
  <si>
    <t>978-5-206-00421-2</t>
  </si>
  <si>
    <t>Бланк Стив, Дорф Боб</t>
  </si>
  <si>
    <t>Стартап: Настольная книга основателя</t>
  </si>
  <si>
    <t>AAA2403067-P</t>
  </si>
  <si>
    <t>978-5-9614-6035-3</t>
  </si>
  <si>
    <t>[покет-серия] Сториномика: Маркетинг, основанный на историях, в пострекламном мире</t>
  </si>
  <si>
    <t>NNN2310218-P</t>
  </si>
  <si>
    <t>978-5-00223-183-6</t>
  </si>
  <si>
    <t>Адизес Ицхак</t>
  </si>
  <si>
    <t>Управление в условиях кризиса: Как выжить и стать сильнее</t>
  </si>
  <si>
    <t>AAA2102100-P</t>
  </si>
  <si>
    <t>978-5-9614-7161-8</t>
  </si>
  <si>
    <t>Методология Адизеса</t>
  </si>
  <si>
    <t>Голдратт Элияху</t>
  </si>
  <si>
    <t>Цель-2 : Дело не в везении</t>
  </si>
  <si>
    <t>PGR2411240-P</t>
  </si>
  <si>
    <t>978-5-907470-62-0</t>
  </si>
  <si>
    <t>31.01.2025</t>
  </si>
  <si>
    <t>4.02. Лидерство</t>
  </si>
  <si>
    <t>[покет-серия] 4 правила успешного лидера</t>
  </si>
  <si>
    <t>AAA2402154-P</t>
  </si>
  <si>
    <t>978-5-9614-9642-0</t>
  </si>
  <si>
    <t>Жуков Михаил</t>
  </si>
  <si>
    <t>HeadHunter. Успех неизбежен. Как стартап стал лидером онлайн-рекрутмента и изменил рынок труда</t>
  </si>
  <si>
    <t>PGR2403059-P</t>
  </si>
  <si>
    <t>978-5-6047842-4-2</t>
  </si>
  <si>
    <t>Стороженко Антон</t>
  </si>
  <si>
    <t>Дао CEO. Как создать свою историю успеха</t>
  </si>
  <si>
    <t>g180625</t>
  </si>
  <si>
    <t>978-5-9614-6823-6</t>
  </si>
  <si>
    <t>[переплет] Идеальный руководитель: Почему им нельзя стать и что из этого следует</t>
  </si>
  <si>
    <t>AAA2409104-P</t>
  </si>
  <si>
    <t>978-5-9614-6550-1</t>
  </si>
  <si>
    <t>[обложка] Идеальный руководитель: Почему им нельзя стать и что из этого следует</t>
  </si>
  <si>
    <t>AAA2409103-P</t>
  </si>
  <si>
    <t>978-5-9614-6752-9</t>
  </si>
  <si>
    <t>Набок Оксана</t>
  </si>
  <si>
    <t>Команда рулит. Управление изменениями в цифровой среде</t>
  </si>
  <si>
    <t>PGR2211165-P</t>
  </si>
  <si>
    <t>978-5-206-00149-5</t>
  </si>
  <si>
    <t>Уитмор Джон</t>
  </si>
  <si>
    <t>Коучинг: Основные принципы и практики коучинга и лидерства</t>
  </si>
  <si>
    <t>AAA2409253-P</t>
  </si>
  <si>
    <t>978-5-9614-7093-2</t>
  </si>
  <si>
    <t>Макаров Антон</t>
  </si>
  <si>
    <t>Люди важнее процессов: Инструменты для ресурсного лидера по управлению командами</t>
  </si>
  <si>
    <t>PGR2311182-P</t>
  </si>
  <si>
    <t>978-5-206-00304-8</t>
  </si>
  <si>
    <t>Хиз Дэн</t>
  </si>
  <si>
    <t>На шаг впереди: Как предотвратить проблему до того, как она возникла</t>
  </si>
  <si>
    <t>AAA1904044-P</t>
  </si>
  <si>
    <t>978-5-9614-6830-4</t>
  </si>
  <si>
    <t>Мушин-Македонский  Артем</t>
  </si>
  <si>
    <t>Нарративное лидерство: искусство вдохновлять и убеждать с помощью историй</t>
  </si>
  <si>
    <t>PGI2412086-P</t>
  </si>
  <si>
    <t>978-5-907470-51-4</t>
  </si>
  <si>
    <t>Сэндберг Шерил, Сковелл Нэлл</t>
  </si>
  <si>
    <t>Не бойся действовать: Женщина, работа и воля к лидерству</t>
  </si>
  <si>
    <t>AAA2503047-P</t>
  </si>
  <si>
    <t>978-5-9614-6805-2</t>
  </si>
  <si>
    <t>Тургунов Мурат</t>
  </si>
  <si>
    <t>Первый после Бога : Не будьте просто начальником</t>
  </si>
  <si>
    <t>PGR2410143-P</t>
  </si>
  <si>
    <t>978-5-907274-87-7</t>
  </si>
  <si>
    <t>Развитие лидеров: Как понять свой стиль управления и эффективно общаться с носителями иных стилей</t>
  </si>
  <si>
    <t>AAA2410306-P</t>
  </si>
  <si>
    <t>978-5-9614-6780-2</t>
  </si>
  <si>
    <t>Маэда Джон, Бермонт Бекки</t>
  </si>
  <si>
    <t>Редизайн лидерства: Руководитель как творец, инженер, ученый и человек</t>
  </si>
  <si>
    <t>AAA2401202-P</t>
  </si>
  <si>
    <t>978-5-9614-6401-6</t>
  </si>
  <si>
    <t>Питерс Том</t>
  </si>
  <si>
    <t>Совершенство сейчас: Как гуманный менеджмент делает бизнес сильнее</t>
  </si>
  <si>
    <t>AAA2104051-P</t>
  </si>
  <si>
    <t>978-5-9614-7527-2</t>
  </si>
  <si>
    <t>Нахапетян Гор, Михайлова Виктория</t>
  </si>
  <si>
    <t>Тандемократия: Искусство "рулить" вдвоем</t>
  </si>
  <si>
    <t>PGR2401084-P</t>
  </si>
  <si>
    <t>978-5-206-00021-4</t>
  </si>
  <si>
    <t>Эмоциональный интеллект лидера</t>
  </si>
  <si>
    <t>AAA2501258-P</t>
  </si>
  <si>
    <t>978-5-9614-7849-5</t>
  </si>
  <si>
    <t>4.03. Стратегия и развитие</t>
  </si>
  <si>
    <t>AAA2503075-P</t>
  </si>
  <si>
    <t>978-5-0063-0262-4</t>
  </si>
  <si>
    <t>Агекян Айше, Рудковская Ирина</t>
  </si>
  <si>
    <t>Бизнес с сердцем вместо KPI : От потребления к созиданию</t>
  </si>
  <si>
    <t>PGR2501300-P</t>
  </si>
  <si>
    <t>978-5-206-00197-6</t>
  </si>
  <si>
    <t>Комсток Бет, Раз Тал</t>
  </si>
  <si>
    <t>Вообразить будущее: Креативный подход к изменениям в бизнесе</t>
  </si>
  <si>
    <t>AAA1810112-P</t>
  </si>
  <si>
    <t>978-5-9614-2656-4</t>
  </si>
  <si>
    <t>Матвеева Екатерина</t>
  </si>
  <si>
    <t>Гонка на миллион. Как выстроить финансовую стратегию, которая приведет ваш бизнес к победе</t>
  </si>
  <si>
    <t>PGR2208075-P</t>
  </si>
  <si>
    <t>978-5-206-00095-5</t>
  </si>
  <si>
    <t>Маэда Джон</t>
  </si>
  <si>
    <t>Законы простоты: Дизайн. Технологии. Бизнес. Жизнь</t>
  </si>
  <si>
    <t>PGR2502052-P</t>
  </si>
  <si>
    <t>978-5-907274-92-1</t>
  </si>
  <si>
    <t>Как спасти или погубить компанию за один день: Технологии глубинной фасилитации для бизнеса</t>
  </si>
  <si>
    <t>AAA2502310-P</t>
  </si>
  <si>
    <t>978-5-9614-0808-9</t>
  </si>
  <si>
    <t>Кошман Маргарита</t>
  </si>
  <si>
    <t>Карьера без границ. Как стать свободнее и смелее идти своим путём</t>
  </si>
  <si>
    <t>LGA2110004-P</t>
  </si>
  <si>
    <t>978-5-907470-84-2</t>
  </si>
  <si>
    <t>Гульчевская Наталья, Сукманюк Ирина, Чуева Екатерина</t>
  </si>
  <si>
    <t>Навигатор внедрения OKR: Опыт российских компаний</t>
  </si>
  <si>
    <t>AAA2502312-P</t>
  </si>
  <si>
    <t>978-5-9614-9135-7</t>
  </si>
  <si>
    <t>Замышляев Олег</t>
  </si>
  <si>
    <t>Настольная книга перемен. Как изменить и улучшить компанию, корпоративную культуру и даже свою собственную жизнь</t>
  </si>
  <si>
    <t>PGR2405084-P</t>
  </si>
  <si>
    <t>978-5-206-00368-0</t>
  </si>
  <si>
    <t>Коннорс Роджер, Смит Том, Хикман Крейг</t>
  </si>
  <si>
    <t>Принцип Оz: Достижение результатов через персональную и организационную ответственность</t>
  </si>
  <si>
    <t>PGR2411148-P</t>
  </si>
  <si>
    <t>978-5-9614-6503-7</t>
  </si>
  <si>
    <t>Пейл Жак</t>
  </si>
  <si>
    <t>Реальная стратегия: Как планировать только то, что можно воплотить</t>
  </si>
  <si>
    <t>AAA2401119-P</t>
  </si>
  <si>
    <t>978-5-9614-6839-7</t>
  </si>
  <si>
    <t>Коляда Андрей</t>
  </si>
  <si>
    <t>Следующий уровень. Стратегический менеджмент новой эпохи</t>
  </si>
  <si>
    <t>PGR2207085-P</t>
  </si>
  <si>
    <t>978-5-206-00086-3</t>
  </si>
  <si>
    <t>Бек Дон Эдвард, Ларсен Тедди Эбо, Солонин Сергей, Джонс Томас, Вильёэн Рика</t>
  </si>
  <si>
    <t>Спиральная динамика на практике:  Модель  развития личности, организации и человечества</t>
  </si>
  <si>
    <t>AAA2408074-P</t>
  </si>
  <si>
    <t>978-5-9614-1914-6</t>
  </si>
  <si>
    <t>Бергер Роланд, Котлер Филип, Бикхофф Нильс</t>
  </si>
  <si>
    <t>Стратегический менеджмент по Котлеру: Лучшие приемы и методы</t>
  </si>
  <si>
    <t>AAA2410332-P</t>
  </si>
  <si>
    <t>978-5-9614-7683-5</t>
  </si>
  <si>
    <t>Шолохов Андрей</t>
  </si>
  <si>
    <t>Стратегия попутного ветра. Как обнаружить или создать асимметрии, способные придать бизнесу ускорение</t>
  </si>
  <si>
    <t>LGA2105260-P</t>
  </si>
  <si>
    <t>978-5-907470-22-4</t>
  </si>
  <si>
    <t>Казинцев Александр</t>
  </si>
  <si>
    <t>Технология развития производственной системы</t>
  </si>
  <si>
    <t>PGR2305144-P</t>
  </si>
  <si>
    <t>978-5-206-00233-1</t>
  </si>
  <si>
    <t>Бриль Герман, Келл Георг, Раше Андреас</t>
  </si>
  <si>
    <t>Устойчивое инвестирование. Навигатор по миру ESG</t>
  </si>
  <si>
    <t>PGR2412010-P</t>
  </si>
  <si>
    <t>978-5-206-00101-3</t>
  </si>
  <si>
    <t>4.04. Менеджмент</t>
  </si>
  <si>
    <t>Глазырин Илья</t>
  </si>
  <si>
    <t>LET'S COME TOGETHER. Эффективная коммуникация внутри команды</t>
  </si>
  <si>
    <t>PGR2409141-P</t>
  </si>
  <si>
    <t>978-5-206-00454-0</t>
  </si>
  <si>
    <t>Бэррон Джейсон</t>
  </si>
  <si>
    <t>MBA в картинках: Два года бизнес-школы в одной книге</t>
  </si>
  <si>
    <t>AAA2410112-P</t>
  </si>
  <si>
    <t>978-5-9614-2850-6</t>
  </si>
  <si>
    <t>Белова Анна</t>
  </si>
  <si>
    <t>PRO реформы: Универсальные инструменты управления изменениями в компании</t>
  </si>
  <si>
    <t>AAA2005024-P</t>
  </si>
  <si>
    <t>978-5-9614-3763-8</t>
  </si>
  <si>
    <t>Джей Рос, Темплар Ричард</t>
  </si>
  <si>
    <t>Алгоритмы эффективной работы</t>
  </si>
  <si>
    <t>PGR2501284-P</t>
  </si>
  <si>
    <t>978-5-9614-6023-0</t>
  </si>
  <si>
    <t>П. Вумек Джеймс, Джонс Дэниел</t>
  </si>
  <si>
    <t>Бережливое производство: Как избавиться от потерь и добиться процветания вашей компании</t>
  </si>
  <si>
    <t>AAA2409177-P</t>
  </si>
  <si>
    <t>978-5-9614-6829-8</t>
  </si>
  <si>
    <t>Фридман Александр</t>
  </si>
  <si>
    <t>Бизнес как часы: Руководство по настройке операционки</t>
  </si>
  <si>
    <t>AAA2409247-P</t>
  </si>
  <si>
    <t>978-5-9614-9634-5</t>
  </si>
  <si>
    <t>Барроу Пол</t>
  </si>
  <si>
    <t>Бизнес-план, который работает</t>
  </si>
  <si>
    <t>AAA2112054-P</t>
  </si>
  <si>
    <t>978-5-9614-7688-0</t>
  </si>
  <si>
    <t>Разгуляев Валера</t>
  </si>
  <si>
    <t>Бирюзовое управление на практике: Опыт российских компаний. 2-е издание, обновлённое и дополненное</t>
  </si>
  <si>
    <t>AAA2408077-P</t>
  </si>
  <si>
    <t>978-5-9614-7840-2</t>
  </si>
  <si>
    <t>Быстрые и эффективные совещания: От подготовки до получения желаемого результата</t>
  </si>
  <si>
    <t>PGR2410080-P</t>
  </si>
  <si>
    <t>978-5-907470-09-5</t>
  </si>
  <si>
    <t>Восхождение по спирали: Теория и практика реформирования организаций</t>
  </si>
  <si>
    <t>AAA2411033-P</t>
  </si>
  <si>
    <t>978-5-9614-8016-0</t>
  </si>
  <si>
    <t>Выход из кризиса: Новая парадигма управления людьми, системами и процессами</t>
  </si>
  <si>
    <t>AAA2501257-P</t>
  </si>
  <si>
    <t>978-5-9614-7101-4</t>
  </si>
  <si>
    <t>Имаи Масааки</t>
  </si>
  <si>
    <t>Гемба кайдзен: Путь к снижению затрат и повышению качества</t>
  </si>
  <si>
    <t>AAA2411145-P</t>
  </si>
  <si>
    <t>978-5-9614-7111-3</t>
  </si>
  <si>
    <t>Кеннеди Дэн</t>
  </si>
  <si>
    <t>[переплет] Жесткий менеджмент: Заставьте людей работать на результат</t>
  </si>
  <si>
    <t>AAA2410311-P</t>
  </si>
  <si>
    <t>978-5-9614-6984-4</t>
  </si>
  <si>
    <t>[обложка] Жесткий менеджмент: Заставьте людей работать на результат (новое издание)</t>
  </si>
  <si>
    <t>AAA2410312-P</t>
  </si>
  <si>
    <t>978-5-9614-6524-2</t>
  </si>
  <si>
    <t>Котыхов Игорь</t>
  </si>
  <si>
    <t>Западная фирма: Методическое пособие для регионального менеджера</t>
  </si>
  <si>
    <t>LGI1907062-P Котыхов</t>
  </si>
  <si>
    <t>978-5-6042880-0-9</t>
  </si>
  <si>
    <t>Вейдер Майкл</t>
  </si>
  <si>
    <t>Инструменты бережливого производства II: Карманное руководство по практике применения Lean</t>
  </si>
  <si>
    <t>PGR2410059-P</t>
  </si>
  <si>
    <t>978-5-9614-6533-4</t>
  </si>
  <si>
    <t>Базерман Макс, Мур Дон</t>
  </si>
  <si>
    <t>Как принять правильное управленческое решение</t>
  </si>
  <si>
    <t>PGR2402123-P</t>
  </si>
  <si>
    <t>978-5-206-00336-9</t>
  </si>
  <si>
    <t>Бехтерев Сергей</t>
  </si>
  <si>
    <t>Как работать в рабочее время: Правила победы над офисным хаосом</t>
  </si>
  <si>
    <t>AAA2502144-P</t>
  </si>
  <si>
    <t>978-5-9614-6632-4</t>
  </si>
  <si>
    <t>Японская Ассоциация Менеджмента</t>
  </si>
  <si>
    <t>Канбан и точно вовремя на Toyota: Менеджмент начинается на рабочем месте</t>
  </si>
  <si>
    <t>AAA2501160-P</t>
  </si>
  <si>
    <t>978-5-9614-6397-2</t>
  </si>
  <si>
    <t>Сэрра Эллисон</t>
  </si>
  <si>
    <t>Кибербезопасность: правила игры. Как руководители и сотрудники влияют на культуру безопасности в компании</t>
  </si>
  <si>
    <t>LGI2109004-P</t>
  </si>
  <si>
    <t>978-5-907470-58-3</t>
  </si>
  <si>
    <t>Тобакковала Ришад</t>
  </si>
  <si>
    <t>Компания для людей : Как сохранить душу бизнеса в эпоху тотальной цифровизации</t>
  </si>
  <si>
    <t>LGA2004063-P</t>
  </si>
  <si>
    <t>978-5-907274-91-4</t>
  </si>
  <si>
    <t>Павеллек Гюнтер</t>
  </si>
  <si>
    <t>Комплексное планирование промышленных предприятий: Базовые принципы, методика, ИТ-обеспечение</t>
  </si>
  <si>
    <t>g40905 МВШИ</t>
  </si>
  <si>
    <t>978-5-9614-4627-2</t>
  </si>
  <si>
    <t>Лапшин Евгений</t>
  </si>
  <si>
    <t>Корпорация без монстров. Инновационный ситуативный менеджмент для собственников и СЕО</t>
  </si>
  <si>
    <t>LGA2102103-P</t>
  </si>
  <si>
    <t>978-5-907394-85-8</t>
  </si>
  <si>
    <t>Уоллес Эми, Кэтмелл Эд</t>
  </si>
  <si>
    <t>[обложка] Корпорация гениев: Как управлять командой творческих людей</t>
  </si>
  <si>
    <t>AAA2409185-P</t>
  </si>
  <si>
    <t>978-5-9614-8363-5</t>
  </si>
  <si>
    <t>Фуллер Памела, Мерфи Марк, Чоу Энни</t>
  </si>
  <si>
    <t>Лидер без предрассудков: Как избавиться от неосознанных предпочтений и стать эффективнее</t>
  </si>
  <si>
    <t>AAA2011271-P</t>
  </si>
  <si>
    <t>978-5-9614-4259-5</t>
  </si>
  <si>
    <t>Майнд-менеджмент: решение бизнес-задач с помощью интеллект-карт</t>
  </si>
  <si>
    <t>AAA2502141-P</t>
  </si>
  <si>
    <t>978-5-9614-7033-8</t>
  </si>
  <si>
    <t>Минцберг Генри</t>
  </si>
  <si>
    <t>Менеджмент: Природа и структура организаций</t>
  </si>
  <si>
    <t>PGR2502331-P</t>
  </si>
  <si>
    <t>978-5-907394-79-7</t>
  </si>
  <si>
    <t>Летуновский Вячеслав</t>
  </si>
  <si>
    <t>Наука побеждать: Менеджмент по Суворову</t>
  </si>
  <si>
    <t>AAA2501167-P</t>
  </si>
  <si>
    <t>978-5-9614-9625-3</t>
  </si>
  <si>
    <t>Ветров Юрий</t>
  </si>
  <si>
    <t>Паттерны дизайн-менеджмента: Как компании достичь организационной зрелости и улучшить свои продукты</t>
  </si>
  <si>
    <t>PGR2409208-P</t>
  </si>
  <si>
    <t>978-5-206-00004-7</t>
  </si>
  <si>
    <t>Шерман Леонард</t>
  </si>
  <si>
    <t>Пока псы лают, коты побеждают: Менеджмент без догм</t>
  </si>
  <si>
    <t>a181122</t>
  </si>
  <si>
    <t>978-5-9614-3094-3</t>
  </si>
  <si>
    <t>Goldratt-Ashlag Efrat</t>
  </si>
  <si>
    <t>Правила потока для управления проектами по Голдратту</t>
  </si>
  <si>
    <t>PGR2502168-P</t>
  </si>
  <si>
    <t>978-5-206-00468-7</t>
  </si>
  <si>
    <t>Практики регулярного менеджмента: Управление исполнением, управление командой</t>
  </si>
  <si>
    <t>AAA2410197-P</t>
  </si>
  <si>
    <t>978-5-9614-2659-5</t>
  </si>
  <si>
    <t>Веделл-Веделлсборг Томас</t>
  </si>
  <si>
    <t>[покет-серия] Проблема не в этом: Как переосмыслить задачу, чтобы найти оптимальное решение</t>
  </si>
  <si>
    <t>AAA2406035-P</t>
  </si>
  <si>
    <t>978-5-9614-9908-7</t>
  </si>
  <si>
    <t>Дерцап Сергей, Минкевич Алексей</t>
  </si>
  <si>
    <t>Проджект-менеджмент: Как быть профессионалом</t>
  </si>
  <si>
    <t>PGR2409226-P</t>
  </si>
  <si>
    <t>978-5-907274-75-4</t>
  </si>
  <si>
    <t>Дерби Эстер</t>
  </si>
  <si>
    <t>Психология управления изменениями: Семь главных правил</t>
  </si>
  <si>
    <t>AAA1907012-P</t>
  </si>
  <si>
    <t>978-5-9614-2735-6</t>
  </si>
  <si>
    <t>Ливайн Майкл</t>
  </si>
  <si>
    <t>Разбитые окна, разбитый бизнес: Как мельчайшие детали влияют на большие достижения</t>
  </si>
  <si>
    <t>PGR2502096-P</t>
  </si>
  <si>
    <t>978-5-9614-7645-3</t>
  </si>
  <si>
    <t>23.02.2025</t>
  </si>
  <si>
    <t>Бенедикт Тони, Кирхмер Матиас, Скарсиг Марк, Франц Петер, Саксена Раджу, Моррис Дэн, Хилти Джек</t>
  </si>
  <si>
    <t>Свод знаний по управлению бизнес-процессами BPM CBOK 4.0</t>
  </si>
  <si>
    <t>AAA2410299-P</t>
  </si>
  <si>
    <t>978-5-9614-7207-3</t>
  </si>
  <si>
    <t>Коффман Курт</t>
  </si>
  <si>
    <t>Сначала нарушьте все правила! Что лучшие в мире менеджеры делают по-другому?</t>
  </si>
  <si>
    <t>AAA2409187-P</t>
  </si>
  <si>
    <t>978-5-9614-8725-1</t>
  </si>
  <si>
    <t>Лоусон Джефф</t>
  </si>
  <si>
    <t>Спроси разработчика: Как стать лидером рынка с помощью создания собственного ПО</t>
  </si>
  <si>
    <t>AAA2101047-P</t>
  </si>
  <si>
    <t>978-5-9614-7659-0</t>
  </si>
  <si>
    <t>[переплет] Стили менеджмента — эффективные и неэффективные</t>
  </si>
  <si>
    <t>AAA2411027-P</t>
  </si>
  <si>
    <t>978-5-9614-7743-6</t>
  </si>
  <si>
    <t>Управление жизненным циклом компании: Как организации растут, развиваются и умирают и что с этим делать</t>
  </si>
  <si>
    <t>AAA2501146-P</t>
  </si>
  <si>
    <t>978-5-9614-7894-5</t>
  </si>
  <si>
    <t>Управление изменениями без потрясений и конфликтов</t>
  </si>
  <si>
    <t>AAA2412030-P</t>
  </si>
  <si>
    <t>978-5-9614-8032-0</t>
  </si>
  <si>
    <t>Веллор Ветри</t>
  </si>
  <si>
    <t>Управление по целям и ключевым результатам: Как распространить методологию OKR на всю организацию</t>
  </si>
  <si>
    <t>AAA2410307-P</t>
  </si>
  <si>
    <t>978-5-9614-8922-4</t>
  </si>
  <si>
    <t>Форсгрен Николь, Хамбл Джез, Ким Джин</t>
  </si>
  <si>
    <t>Ускоряйся! Наука DevOps. Как создавать и масштабировать высокопроизводительные цифровые организации</t>
  </si>
  <si>
    <t>PGR2403065-P</t>
  </si>
  <si>
    <t>978-5-6042881-1-5</t>
  </si>
  <si>
    <t>Моттола Мэтью, Котни Мэтью</t>
  </si>
  <si>
    <t>Экономика удаленки. Как облачные технологии и искусственный интеллект меняют работу</t>
  </si>
  <si>
    <t>LGA2104108-P</t>
  </si>
  <si>
    <t>978-5-907470-16-3</t>
  </si>
  <si>
    <t>Милгром Пол</t>
  </si>
  <si>
    <t>Экономика, организация и менеджмент</t>
  </si>
  <si>
    <t>PGR2410235-P</t>
  </si>
  <si>
    <t>978-5-206-00022-1</t>
  </si>
  <si>
    <t>Щепин Евгений</t>
  </si>
  <si>
    <t>Энергия клиента: Как окупается человеческий подход в бизнесе</t>
  </si>
  <si>
    <t>AAA2501165-P</t>
  </si>
  <si>
    <t>978-5-9614-9448-8</t>
  </si>
  <si>
    <t>Филимонов  Сергей</t>
  </si>
  <si>
    <t>Я РМ. Проджект-менеджер: системный подход и лучшие практики</t>
  </si>
  <si>
    <t>PGR2203199-P</t>
  </si>
  <si>
    <t>978-5-206-00043-6</t>
  </si>
  <si>
    <t>4.05. Стартапы, предпринимательство, бизнес-модели</t>
  </si>
  <si>
    <t>Каплан Ярослав</t>
  </si>
  <si>
    <t>Бизнес incognita: Как расширить границы предпринимательского мышления</t>
  </si>
  <si>
    <t>PGR2204099-P</t>
  </si>
  <si>
    <t>978-5-206-00051-1</t>
  </si>
  <si>
    <t>Франкенбергер Каролин, Шик Микаэла, Гассман Оливер</t>
  </si>
  <si>
    <t>Бизнес-модели: 55 лучших шаблонов</t>
  </si>
  <si>
    <t>AAA2411140-P</t>
  </si>
  <si>
    <t>978-5-9614-5952-4</t>
  </si>
  <si>
    <t>Кавасаки Гай</t>
  </si>
  <si>
    <t>Быстрый старт: Проверенная методика запуска стартапа</t>
  </si>
  <si>
    <t>AAA2502142-P</t>
  </si>
  <si>
    <t>978-5-9614-7282-0</t>
  </si>
  <si>
    <t>Йескомб Э.Р., Фаркуарсон Эдвард</t>
  </si>
  <si>
    <t>Государственно-частное партнерство в сфере инфраструктуры: принципы финансирования и управления</t>
  </si>
  <si>
    <t>PGI2207036-P</t>
  </si>
  <si>
    <t>978-5-907394-88-9</t>
  </si>
  <si>
    <t>Альварес Синди</t>
  </si>
  <si>
    <t>Как создать продукт, который купят: Метод Lean Customer Development</t>
  </si>
  <si>
    <t>AAA2501162-P</t>
  </si>
  <si>
    <t>978-5-9614-6786-4</t>
  </si>
  <si>
    <t>Вики Тендайи, Тома Дэн, Гонс Эстер</t>
  </si>
  <si>
    <t>Корпоративный стартап: Как создать инновационную экосистему в крупной компании</t>
  </si>
  <si>
    <t>AAA1904012-P</t>
  </si>
  <si>
    <t>978-5-9614-3638-9</t>
  </si>
  <si>
    <t>Сунцова Дарья</t>
  </si>
  <si>
    <t>Никогда не сдавайся: Антикризисные стратегии российских предпринимателей</t>
  </si>
  <si>
    <t>AAA2101108-P</t>
  </si>
  <si>
    <t>978-5-9614-4011-9</t>
  </si>
  <si>
    <t>Макдуми Зубайр</t>
  </si>
  <si>
    <t>Оазис возможностей: Секреты процветающего бизнеса в ОАЭ</t>
  </si>
  <si>
    <t>PGR2406117-P</t>
  </si>
  <si>
    <t>978-5-206-00353-6</t>
  </si>
  <si>
    <t>Мазурин Дмитрий</t>
  </si>
  <si>
    <t>Одиссея российского топ-менеджера: Как сделать бизнес сильнее в эпоху кризиса</t>
  </si>
  <si>
    <t>PGR2207093-P</t>
  </si>
  <si>
    <t>978-5-206-00091-7</t>
  </si>
  <si>
    <t>Нанеишвили Георгий</t>
  </si>
  <si>
    <t>Оптимизируй ЭТО немедленно! Как, используя современные IT-инструменты, сократить издержки и обойти конкурентов</t>
  </si>
  <si>
    <t>LGA2101098-P</t>
  </si>
  <si>
    <t>978-5-9614-6110-7</t>
  </si>
  <si>
    <t>Салдана Тони</t>
  </si>
  <si>
    <t>Почему цифровая трансформация не дает результата и что делать, чтобы всё заработало</t>
  </si>
  <si>
    <t>AAA2401201-P</t>
  </si>
  <si>
    <t>978-5-9614-3859-8</t>
  </si>
  <si>
    <t>Стикдорн Марк, Лоуренс Адам, Хормес Маркус, Шнайдер Якоб</t>
  </si>
  <si>
    <t>Сервис-дизайн на практике: Проектирование лучшего клиентского опыта</t>
  </si>
  <si>
    <t>AAA1809013-P</t>
  </si>
  <si>
    <t>978-5-9614-8146-4</t>
  </si>
  <si>
    <t>Смеркис Владимир</t>
  </si>
  <si>
    <t>Силиконовые дали. Будущее, в котором мы живем сегодня</t>
  </si>
  <si>
    <t>LGA2110128-P</t>
  </si>
  <si>
    <t>978-5-907534-82-7</t>
  </si>
  <si>
    <t>Кантровиц Алекс</t>
  </si>
  <si>
    <t>Сохраняя энергию стартапа. Как техногиганты ежедневно изобретают будущее и остаются на вершине</t>
  </si>
  <si>
    <t>LGI2110015-P</t>
  </si>
  <si>
    <t>978-5-907470-86-6</t>
  </si>
  <si>
    <t>Хейг Пол</t>
  </si>
  <si>
    <t>Управленческие концепции и бизнес-модели: Полное руководство</t>
  </si>
  <si>
    <t>AAA2401115-P</t>
  </si>
  <si>
    <t>978-5-9614-2346-4</t>
  </si>
  <si>
    <t>Ляшевский Виктор</t>
  </si>
  <si>
    <t>Франшиза на 360° : От покупки готовой до создания собственной</t>
  </si>
  <si>
    <t>LGA2012373-P</t>
  </si>
  <si>
    <t>978-5-907394-49-0</t>
  </si>
  <si>
    <t>4.06. Опыт выдающихся компаний и предпринимателей</t>
  </si>
  <si>
    <t>Бэйм Эй Джей</t>
  </si>
  <si>
    <t>Ford против Ferrari: Cамое яростное противостояние в автогонках. Реальная история</t>
  </si>
  <si>
    <t>AAA2412268-P</t>
  </si>
  <si>
    <t>978-5-9614-7656-9</t>
  </si>
  <si>
    <t>Томский Арсен</t>
  </si>
  <si>
    <t>inDriver: От Якутска до Кремниевой долины. История создания глобальной технологической компании</t>
  </si>
  <si>
    <t>AAA2301123-P</t>
  </si>
  <si>
    <t>978-5-9614-2914-5</t>
  </si>
  <si>
    <t>Смит Брэд, Браун Кэрол Энн</t>
  </si>
  <si>
    <t>IT как оружие:  Какие опасности таит в себе развитие высоких технологий</t>
  </si>
  <si>
    <t>AAA1905126-P</t>
  </si>
  <si>
    <t>978-5-9614-4017-1</t>
  </si>
  <si>
    <t>Дайер Дэвис</t>
  </si>
  <si>
    <t>Procter &amp; Gamble. Путь к успеху. 165-летний опыт построения брендов</t>
  </si>
  <si>
    <t>PGR2502010-P</t>
  </si>
  <si>
    <t>978-5-9614-6897-7</t>
  </si>
  <si>
    <t>Валд Эллен</t>
  </si>
  <si>
    <t>SAUDI INC. История о том, как Саудовская Аравия стала одним из самых влиятельных государств на геополитической карте мира</t>
  </si>
  <si>
    <t>PGR2412253-P</t>
  </si>
  <si>
    <t>978-5-907470-66-8</t>
  </si>
  <si>
    <t>Морита Акио</t>
  </si>
  <si>
    <t>Sony: Cделано в Японии</t>
  </si>
  <si>
    <t>AAA2502303-P</t>
  </si>
  <si>
    <t>978-5-9614-6927-1</t>
  </si>
  <si>
    <t>Филиппов Сергей</t>
  </si>
  <si>
    <t>Быть бизнес-лидером: 16 историй успеха</t>
  </si>
  <si>
    <t>PGR2412087-P</t>
  </si>
  <si>
    <t>978-5-9614-4728-6</t>
  </si>
  <si>
    <t>Семешкина Мила</t>
  </si>
  <si>
    <t>Ваша карьера на миллион. 11 уроков для прорывной карьеры</t>
  </si>
  <si>
    <t>PGR2310111-P</t>
  </si>
  <si>
    <t>978-5-206-00293-5</t>
  </si>
  <si>
    <t>ВкусВилл: Как совершить революцию в ритейле, делая всё не так</t>
  </si>
  <si>
    <t>AAA2409249-P</t>
  </si>
  <si>
    <t>978-5-9614-8339-0</t>
  </si>
  <si>
    <t>Делл Майкл</t>
  </si>
  <si>
    <t>Выигрывай честно: История создания и ключевые принципы управления корпорации DELL</t>
  </si>
  <si>
    <t>PGR2108007-P</t>
  </si>
  <si>
    <t>978-5-907534-02-5</t>
  </si>
  <si>
    <t>Лохов Дмитрий , Казаков Дмитрий</t>
  </si>
  <si>
    <t>Высота. Реальная история борьбы за свое дело, честное имя и любовь</t>
  </si>
  <si>
    <t>PGR2212012-P</t>
  </si>
  <si>
    <t>978-5-206-00152-5</t>
  </si>
  <si>
    <t>Калашникова Людмила</t>
  </si>
  <si>
    <t>Герои бизнеса. Как создать систему из хаоса</t>
  </si>
  <si>
    <t>PGR2405039-P</t>
  </si>
  <si>
    <t>978-5-206-00064-1</t>
  </si>
  <si>
    <t>Лазутин Алексей</t>
  </si>
  <si>
    <t>Деньги — вперёд! Всё о ломбардах и о том, как на них зарабатывать</t>
  </si>
  <si>
    <t>PGR2308116-P</t>
  </si>
  <si>
    <t>978-5-206-00260-7</t>
  </si>
  <si>
    <t>[покет-серия] Думай как миллиардер</t>
  </si>
  <si>
    <t>AAA2410183-P</t>
  </si>
  <si>
    <t>978-5-9614-9210-1</t>
  </si>
  <si>
    <t>Фис-Эме Реджи</t>
  </si>
  <si>
    <t>[обложка с клапанами] Играя не по правилам: Из Бронкса — в руководство Nintendo</t>
  </si>
  <si>
    <t>SAA2210062-P</t>
  </si>
  <si>
    <t>978-5-907625-05-1</t>
  </si>
  <si>
    <t>Шваб Чарльз</t>
  </si>
  <si>
    <t>Инвестиционная революция : Как мы сделали биржу доступной каждому</t>
  </si>
  <si>
    <t>LGA1911132-P</t>
  </si>
  <si>
    <t>978-5-907274-54-9</t>
  </si>
  <si>
    <t>Пискулин Илья</t>
  </si>
  <si>
    <t>История ИП : История взлетов и падений одного российского индивидуального предпринимателя</t>
  </si>
  <si>
    <t>PGR2204066-P</t>
  </si>
  <si>
    <t>978-5-206-00048-1</t>
  </si>
  <si>
    <t>Сагирян Альберт</t>
  </si>
  <si>
    <t>Как выжить, если тебе 20. Руководство по успешному старту карьеры и самостоятельной жизни</t>
  </si>
  <si>
    <t>PGR2410166-P</t>
  </si>
  <si>
    <t>978-5-907274-38-9</t>
  </si>
  <si>
    <t>Тиньков Олег</t>
  </si>
  <si>
    <t>Как стать бизнесменом</t>
  </si>
  <si>
    <t>AAA2409120-P</t>
  </si>
  <si>
    <t>978-5-9614-6899-1</t>
  </si>
  <si>
    <t>Уолтон Сэм</t>
  </si>
  <si>
    <t>Как я создал Wal-Mart</t>
  </si>
  <si>
    <t>AAA2304090-P</t>
  </si>
  <si>
    <t>978-5-9614-6956-1</t>
  </si>
  <si>
    <t>Кэри Дэвид, Моррис Джон</t>
  </si>
  <si>
    <t>Король капитала: История невероятного взлета, падения и возрождения Стива Шварцмана и Blackstone</t>
  </si>
  <si>
    <t>PGR2502094-P</t>
  </si>
  <si>
    <t>978-5-907470-24-8</t>
  </si>
  <si>
    <t>15.02.2025</t>
  </si>
  <si>
    <t>Видеман Ривз</t>
  </si>
  <si>
    <t>Миллиард за мечту, или Как дерзость и непомерные амбиции Адама Неймана построить новое общество обернулись крахом империи WeWork</t>
  </si>
  <si>
    <t>PGI2102138-P</t>
  </si>
  <si>
    <t>978-5-907470-31-6</t>
  </si>
  <si>
    <t>Нестеров Михаил</t>
  </si>
  <si>
    <t>Молочные реки. Искусство прибыльного животноводства</t>
  </si>
  <si>
    <t>PGR2401041-P</t>
  </si>
  <si>
    <t>978-5-206-00325-3</t>
  </si>
  <si>
    <t>Богачев Сергей</t>
  </si>
  <si>
    <t>Основы фриланса: Плюсы и минусы работы на себя</t>
  </si>
  <si>
    <t>LGA2103048-P</t>
  </si>
  <si>
    <t>978-5-907470-15-6</t>
  </si>
  <si>
    <t>Колесников Сергей, Альтшулер Игорь</t>
  </si>
  <si>
    <t>Поход в Европу, или Новые горизонты</t>
  </si>
  <si>
    <t>LGA1910148-P Технониколь</t>
  </si>
  <si>
    <t>978-5-907274-07-5</t>
  </si>
  <si>
    <t>Горкунов Борис</t>
  </si>
  <si>
    <t>Правила для мужчин: Как стать успешным в личной жизни, бизнесе и власти</t>
  </si>
  <si>
    <t>PGR2501205-P</t>
  </si>
  <si>
    <t>978-5-206-00356-7</t>
  </si>
  <si>
    <t>Дорофеев Владислав</t>
  </si>
  <si>
    <t>Русский размер. История трубы, или новая индустриализация</t>
  </si>
  <si>
    <t>AGA1901035-P</t>
  </si>
  <si>
    <t>978-5-907274-01-3</t>
  </si>
  <si>
    <t>Соколов-Митрич Дмитрий, Пищикова  Евгения, Лаборатория «Однажды», Турко Сергей, Корк Берт, Писаренко Дмитрий, Рохлин Александр, Ходонова Александра</t>
  </si>
  <si>
    <t>Сделано по-настоящему, или 11 историй о предпринимателях-(не)перфекционистах</t>
  </si>
  <si>
    <t>PGR2404034-P</t>
  </si>
  <si>
    <t>978-5-206-00349-9</t>
  </si>
  <si>
    <t>[Казахстан] Социальная сеть, изменившая мир: От стартапа до метавселенной</t>
  </si>
  <si>
    <t>ZAZ2002133-P</t>
  </si>
  <si>
    <t>978-601-80110-6-1</t>
  </si>
  <si>
    <t>Панкратов Кирилл</t>
  </si>
  <si>
    <t>Тугая упаковка, или Бизнес-роман о роботах, алгоритмах и о складе без людей</t>
  </si>
  <si>
    <t>PGR2312053-P</t>
  </si>
  <si>
    <t>978-5-206-00311-6</t>
  </si>
  <si>
    <t>Молодых Андрей, Гурьянов Николай, Корк Алена, Корк Бертольд</t>
  </si>
  <si>
    <t>Хвостономика. Успешный бизнес, основанный на любви, или Как компания «Валта» учит Россию заботиться о домашних питомцах</t>
  </si>
  <si>
    <t>PGR2301043-P</t>
  </si>
  <si>
    <t>978-5-206-00177-8</t>
  </si>
  <si>
    <t>Штейнберг Анатолий</t>
  </si>
  <si>
    <t>Эпоха перемен. Моя жизнь</t>
  </si>
  <si>
    <t>PGR2408101-P</t>
  </si>
  <si>
    <t>978-5-206-00399-4</t>
  </si>
  <si>
    <t>4.07. Маркетинг, реклама, PR</t>
  </si>
  <si>
    <t>487 хаков для интернет-маркетологов: Как получить еще больше трафика и продаж</t>
  </si>
  <si>
    <t>AAA2309078-P</t>
  </si>
  <si>
    <t>978-5-9614-7739-9</t>
  </si>
  <si>
    <t>7 навыков высокоэффективных профессионалов сетевого маркетинга</t>
  </si>
  <si>
    <t>PGR2408106-P</t>
  </si>
  <si>
    <t>978-5-907470-76-7</t>
  </si>
  <si>
    <t>Кравченко Елена, Гайнутдинова Екатерина</t>
  </si>
  <si>
    <t>Голос клиента. Открываем секреты целевой аудитории.</t>
  </si>
  <si>
    <t>PGR2304006-P</t>
  </si>
  <si>
    <t>978-5-206-00207-2</t>
  </si>
  <si>
    <t>Кеннеди Дэн, Уэлш-Филлипс Ким</t>
  </si>
  <si>
    <t>Жесткий SMM: Выжать из соцсетей максимум</t>
  </si>
  <si>
    <t>AAA2407124-P</t>
  </si>
  <si>
    <t>978-5-9614-6546-4</t>
  </si>
  <si>
    <t>Глазова Лилия</t>
  </si>
  <si>
    <t>Зачем пиарщику линейка? Советы по измерению коммуникаций</t>
  </si>
  <si>
    <t>PGR2502266-P</t>
  </si>
  <si>
    <t>978-5-907394-94-0</t>
  </si>
  <si>
    <t>Дью Роберт, Аллен Сайрус</t>
  </si>
  <si>
    <t>Клиентский опыт: Как вывести бизнес на новый уровень</t>
  </si>
  <si>
    <t>AAA2502307-P</t>
  </si>
  <si>
    <t>978-5-9614-2404-1</t>
  </si>
  <si>
    <t>Домбай Куат</t>
  </si>
  <si>
    <t>Конец пиара : Управление репутацией как финансовым капиталом</t>
  </si>
  <si>
    <t>PGR2211126-P</t>
  </si>
  <si>
    <t>978-5-206-00174-7</t>
  </si>
  <si>
    <t>Мортон Саймон</t>
  </si>
  <si>
    <t>Лаборатория презентаций: Формула идеального выступления</t>
  </si>
  <si>
    <t>AAA2010200-P</t>
  </si>
  <si>
    <t>978-5-9614-5399-7</t>
  </si>
  <si>
    <t>Метод StoryBrand: Расскажите о своем бренде так, чтобы в него влюбились</t>
  </si>
  <si>
    <t>AAA2411204-P</t>
  </si>
  <si>
    <t>978-5-9614-2738-7</t>
  </si>
  <si>
    <t>Кейн Брендан</t>
  </si>
  <si>
    <t>Миллион подписчиков: Как раскрутить ваш аккаунт за 30 дней</t>
  </si>
  <si>
    <t>AAA2008019-P</t>
  </si>
  <si>
    <t>978-5-9614-3367-8</t>
  </si>
  <si>
    <t>Балахнин Илья</t>
  </si>
  <si>
    <t>Найден более быстрый маршрут : Применение карт путешествия потребителя для повышения продаж и лояльности. Теперь и в B2B</t>
  </si>
  <si>
    <t>PGR2409296-P</t>
  </si>
  <si>
    <t>978-5-907394-87-2</t>
  </si>
  <si>
    <t>Лапук Мария</t>
  </si>
  <si>
    <t>Пиар да Винчи, или как сделать новость из ничего</t>
  </si>
  <si>
    <t>PGR2403060-P</t>
  </si>
  <si>
    <t>978-5-206-00225-6</t>
  </si>
  <si>
    <t>Блюм Дебора, Кнудсон Мэри, Хениг Робин Маранц</t>
  </si>
  <si>
    <t>Полевое руководство для научных журналистов</t>
  </si>
  <si>
    <t>N171011</t>
  </si>
  <si>
    <t>978-5-91671-816-4</t>
  </si>
  <si>
    <t>Беквит Гарри</t>
  </si>
  <si>
    <t>Продавая незримое: Руководство по современному маркетингу услуг</t>
  </si>
  <si>
    <t>AAA2410302-P</t>
  </si>
  <si>
    <t>978-5-9614-6811-3</t>
  </si>
  <si>
    <t>Стейплс Тим, Янг  Джош</t>
  </si>
  <si>
    <t>Прорваться сквозь шум: Как привлечь всеобщее внимание в сети</t>
  </si>
  <si>
    <t>AAA1902001-P</t>
  </si>
  <si>
    <t>978-5-9614-3004-2</t>
  </si>
  <si>
    <t>Иванов Алексей</t>
  </si>
  <si>
    <t>Реклама без бюджета: 20 способов продать ваш товар или услугу</t>
  </si>
  <si>
    <t>AAA2307162-P</t>
  </si>
  <si>
    <t>978-5-9614-9137-1</t>
  </si>
  <si>
    <t>Нордфальт Йенс</t>
  </si>
  <si>
    <t>Ритейл-маркетинг: Практики и исследования</t>
  </si>
  <si>
    <t>PGR2410032-P</t>
  </si>
  <si>
    <t>978-5-9614-7079-6</t>
  </si>
  <si>
    <t>Хаустова Галина</t>
  </si>
  <si>
    <t>Телемаркетинг. Второе дыхание. Новый подход к общению с клиентом</t>
  </si>
  <si>
    <t>PGR2306003-P</t>
  </si>
  <si>
    <t>978-5-206-00236-2</t>
  </si>
  <si>
    <t>Шоттон Ричард</t>
  </si>
  <si>
    <t>Фабрика выбора: Как преодолеть 25 препятствий, которые мешают клиенту совершить покупку</t>
  </si>
  <si>
    <t>AAA2007223-P</t>
  </si>
  <si>
    <t>978-5-9614-2578-9</t>
  </si>
  <si>
    <t>Бюрг Юлия, Кошкин Олег</t>
  </si>
  <si>
    <t>Формула онлайн-репутации, или Простыми словами об ORM</t>
  </si>
  <si>
    <t>PGR2203066-P</t>
  </si>
  <si>
    <t>978-5-206-00012-2</t>
  </si>
  <si>
    <t>Стулова Евгения</t>
  </si>
  <si>
    <t>Четыре всадника информационного апокалипсиса. Краткое пособие по управлению репутацией политика в условиях новой информационной реальности</t>
  </si>
  <si>
    <t>PGR2412089-P</t>
  </si>
  <si>
    <t>978-5-907470-27-9</t>
  </si>
  <si>
    <t>Гилмор Джеймс, Б. Пайн II Джозеф</t>
  </si>
  <si>
    <t>Экономика впечатлений: Как превратить покупку в захватывающее действие</t>
  </si>
  <si>
    <t>PGR2410058-P</t>
  </si>
  <si>
    <t>978-5-6042879-7-2</t>
  </si>
  <si>
    <t>4.08. Бизнес-аналитика и большие данные</t>
  </si>
  <si>
    <t>Усачева Александра, Демидов Андрей</t>
  </si>
  <si>
    <t>ДАТА ЙОГА: грамотная работа с данными</t>
  </si>
  <si>
    <t>PGR2404221-P</t>
  </si>
  <si>
    <t>978-5-206-00161-7</t>
  </si>
  <si>
    <t>Колоколов Алексей</t>
  </si>
  <si>
    <t>Заставьте данные говорить : Как сделать бизнес-дашборд в Excel. Руководство по визуализации данных</t>
  </si>
  <si>
    <t>PGR2412050-P</t>
  </si>
  <si>
    <t>978-5-206-00079-5</t>
  </si>
  <si>
    <t>Морроу Джордан</t>
  </si>
  <si>
    <t>Как вытащить из данных максимум: Навыки аналитики для неспециалистов</t>
  </si>
  <si>
    <t>AAA2503151-P</t>
  </si>
  <si>
    <t>978-5-9614-7563-0</t>
  </si>
  <si>
    <t>Жумыкин Алексей</t>
  </si>
  <si>
    <t>Настольная книга эксплуататора : Всё, что вы хотели знать о повседневной жизни датацентров, но боялись спросить</t>
  </si>
  <si>
    <t>PGR2205167-P</t>
  </si>
  <si>
    <t>978-5-206-00067-2</t>
  </si>
  <si>
    <t>Хэнд Дэвид</t>
  </si>
  <si>
    <t>Темные данные: Практическое руководство по принятию правильных решений в мире недостающих данных</t>
  </si>
  <si>
    <t>AAA2310086-P</t>
  </si>
  <si>
    <t>978-5-9614-4143-7</t>
  </si>
  <si>
    <t>Жаров Дмитрий</t>
  </si>
  <si>
    <t>Финансовое моделирование в Excel</t>
  </si>
  <si>
    <t>AAA2402077-P</t>
  </si>
  <si>
    <t>978-5-9614-9615-4</t>
  </si>
  <si>
    <t>Кузнецов Сергей , Константинов Александр, Скворцов Николай</t>
  </si>
  <si>
    <t>Ценность ваших данных</t>
  </si>
  <si>
    <t>PGR2110098-P</t>
  </si>
  <si>
    <t>978-5-206-00054-2</t>
  </si>
  <si>
    <t>4.09. Подбор, мотивация и развитие персонала. Командная работа</t>
  </si>
  <si>
    <t>Катценбах Йон, Томас Джеймс, Андерсон Гретхен</t>
  </si>
  <si>
    <t xml:space="preserve"> Трансформация корпоративной культуры : Важные детали, без которых ничего не работает</t>
  </si>
  <si>
    <t>PGR2409132-P</t>
  </si>
  <si>
    <t>978-5-907274-46-4</t>
  </si>
  <si>
    <t>Подовжняя Галина</t>
  </si>
  <si>
    <t>HR без стереотипов</t>
  </si>
  <si>
    <t>AAA2006117-P</t>
  </si>
  <si>
    <t>978-5-9614-3808-6</t>
  </si>
  <si>
    <t>Окунцева Ксения</t>
  </si>
  <si>
    <t>Все, что вы хотели знать об IT-рекрутинге: Как обогнать конкурентов в гонке за профессионалами</t>
  </si>
  <si>
    <t>LGA2107095-P</t>
  </si>
  <si>
    <t>978-5-907470-96-5</t>
  </si>
  <si>
    <t>Борисов Константин</t>
  </si>
  <si>
    <t>Герой и его команда. Как собрать, зажечь и достичь больших результатов</t>
  </si>
  <si>
    <t>LGR2310226-P</t>
  </si>
  <si>
    <t>978-5-907470-17-0</t>
  </si>
  <si>
    <t>Высоцкая Анастасия</t>
  </si>
  <si>
    <t>Да начнется игра! Руководство по внедрению игровых форматов в обучение</t>
  </si>
  <si>
    <t>PGR2409038-P</t>
  </si>
  <si>
    <t>978-5-206-00409-0</t>
  </si>
  <si>
    <t>Кузнецов Михаил</t>
  </si>
  <si>
    <t>Директор по призванию. Как изменить мир к лучшему с помощью корпоративного управления</t>
  </si>
  <si>
    <t>PGR2203084-P</t>
  </si>
  <si>
    <t>978-5-206-00018-4</t>
  </si>
  <si>
    <t>[обложка с клапанами] Искусство подбора персонала: Как оценить человека за час</t>
  </si>
  <si>
    <t>AAA2409178-P</t>
  </si>
  <si>
    <t>978-5-9614-7100-7</t>
  </si>
  <si>
    <t>Федоров Станислав</t>
  </si>
  <si>
    <t>[методические карточки] Карьерная шпаргалка</t>
  </si>
  <si>
    <t>PGR2302114-P</t>
  </si>
  <si>
    <t>978-5-206-00188-4</t>
  </si>
  <si>
    <t>Командо(с). Как достигать больших целей вместе</t>
  </si>
  <si>
    <t>PGR2407112-P</t>
  </si>
  <si>
    <t>978-5-9614-8667-4</t>
  </si>
  <si>
    <t>Захаров Павел, Пересыпкин Сергей</t>
  </si>
  <si>
    <t>Культура безопасности труда : Человеческий фактор в ракурсе международных практик</t>
  </si>
  <si>
    <t>PGR2412135-P</t>
  </si>
  <si>
    <t>978-5-6042320-5-7</t>
  </si>
  <si>
    <t>Мотивация на 100%: а где же у него кнопка?</t>
  </si>
  <si>
    <t>AAA2410196-P</t>
  </si>
  <si>
    <t>978-5-9614-7575-3</t>
  </si>
  <si>
    <t>Поташев Максим, Ершов Павел</t>
  </si>
  <si>
    <t>[покет-серия] Правила команды: Искусство думать вместе</t>
  </si>
  <si>
    <t>AAA2311158-P</t>
  </si>
  <si>
    <t>978-5-9614-8664-3</t>
  </si>
  <si>
    <t>Эдмондсон Эми</t>
  </si>
  <si>
    <t>Работа без страха : Как создать в компании психологически безопасную среду для максимальной командной эффективности</t>
  </si>
  <si>
    <t>PGR2412232-P</t>
  </si>
  <si>
    <t>978-5-907274-02-0</t>
  </si>
  <si>
    <t>Уилкинсон Майкл</t>
  </si>
  <si>
    <t>Секреты фасилитации: SMART-руководство по работе с группами</t>
  </si>
  <si>
    <t>AAA2409186-P</t>
  </si>
  <si>
    <t>978-5-9614-6586-0</t>
  </si>
  <si>
    <t>Ветлужских Елена</t>
  </si>
  <si>
    <t>Система вознаграждения: Как разработать цели и KPI</t>
  </si>
  <si>
    <t>AAA2410205-P</t>
  </si>
  <si>
    <t>978-5-9614-6905-9</t>
  </si>
  <si>
    <t>Журавлёв Сергей</t>
  </si>
  <si>
    <t>Стоп, кадры! Инструменты и техники подбора персонала</t>
  </si>
  <si>
    <t>PGR2309165-P</t>
  </si>
  <si>
    <t>978-5-206-00275-1</t>
  </si>
  <si>
    <t>Осипов Иван</t>
  </si>
  <si>
    <t>Тимбилдинг не работает. Можно ли превратить игру в эффективный бизнес-инструмент?</t>
  </si>
  <si>
    <t>PGR2404115-P</t>
  </si>
  <si>
    <t>978-5-206-00335-2</t>
  </si>
  <si>
    <t>Коннорс Роджер, Смит Том</t>
  </si>
  <si>
    <t>Три пути в страну Oz.  Как построить культуру настоящей ответственности</t>
  </si>
  <si>
    <t>PGR2105170-P</t>
  </si>
  <si>
    <t>978-5-6047842-3-5</t>
  </si>
  <si>
    <t>Онучин Андрей</t>
  </si>
  <si>
    <t>Трудовые будни. От выживания к вовлеченности</t>
  </si>
  <si>
    <t>PGR2410334-P</t>
  </si>
  <si>
    <t>978-5-206-00257-7</t>
  </si>
  <si>
    <t>Армстронг, Майкл, Бэрон Анжела</t>
  </si>
  <si>
    <t>Управление результативностью: Cистема оценки результатов в действии</t>
  </si>
  <si>
    <t>PGR2411105-P</t>
  </si>
  <si>
    <t>978-5-907470-06-4</t>
  </si>
  <si>
    <t>Кокинз Гэри</t>
  </si>
  <si>
    <t>Управление результативностью: Как преодолеть разрыв между объявленной стратегией и реальными процессами</t>
  </si>
  <si>
    <t>PGR2409227-P</t>
  </si>
  <si>
    <t>978-5-907274-62-4</t>
  </si>
  <si>
    <t>Чински Мэтьюсон Роберта</t>
  </si>
  <si>
    <t>Управление талантами: Руководство по выращиванию сильной команды</t>
  </si>
  <si>
    <t>AAA2407215-P</t>
  </si>
  <si>
    <t>978-5-9614-3202-2</t>
  </si>
  <si>
    <t>Что скрывает кандидат? 41 опросник для оценки факторов риска при проведении интервью</t>
  </si>
  <si>
    <t>AAA2502313-P</t>
  </si>
  <si>
    <t>978-5-9614-2464-5</t>
  </si>
  <si>
    <t>Рубинштейн Бэла</t>
  </si>
  <si>
    <t>ЧУДОвищная команда: Как укрощать начальство, коллег и клиентов с помощью слов</t>
  </si>
  <si>
    <t>PGR2411239-P</t>
  </si>
  <si>
    <t>978-5-206-00301-7</t>
  </si>
  <si>
    <t>4.10. Продажи, сервис, логистика</t>
  </si>
  <si>
    <t>Казакевич Алексей</t>
  </si>
  <si>
    <t>E-commerce: Как завоевать клиента и не потерять деньги</t>
  </si>
  <si>
    <t>AAA1809028-P</t>
  </si>
  <si>
    <t>978-5-9614-1973-3</t>
  </si>
  <si>
    <t>PROзакупки : Полный курс для предпринимателей</t>
  </si>
  <si>
    <t>PGR2501013-P</t>
  </si>
  <si>
    <t>978-5-206-00078-8</t>
  </si>
  <si>
    <t>Sales-детонатор: Как добиться взрывного роста продаж</t>
  </si>
  <si>
    <t>PGR2501086-P</t>
  </si>
  <si>
    <t>978-5-907274-52-5</t>
  </si>
  <si>
    <t>Цысарь Алексей, Лобанов Евгений</t>
  </si>
  <si>
    <t>Во имя Сервиса. Инструменты и рекомендации, как стать компанией, ориентированной на клиента</t>
  </si>
  <si>
    <t>PGR2112017-P</t>
  </si>
  <si>
    <t>978-5-907534-45-2</t>
  </si>
  <si>
    <t>Хорват Александра</t>
  </si>
  <si>
    <t>Дайте жалобную книгу! Как заработать больше, используя обратную связь от клиентов</t>
  </si>
  <si>
    <t>PGR2309162-P</t>
  </si>
  <si>
    <t>978-5-206-00274-4</t>
  </si>
  <si>
    <t>Кристенсен Крэйг, Фронтц Шон, Сьюза Деннис</t>
  </si>
  <si>
    <t>Закрыть сделку: Пять навыков для отличных результатов в продажах</t>
  </si>
  <si>
    <t>a181012</t>
  </si>
  <si>
    <t>978-5-9614-1045-7</t>
  </si>
  <si>
    <t>Шоул Джон</t>
  </si>
  <si>
    <t>Как превратить разгневанного покупателя в счастливого за 60 секунд</t>
  </si>
  <si>
    <t>AAA2410325-P</t>
  </si>
  <si>
    <t>978-5-9614-7156-4</t>
  </si>
  <si>
    <t>Фейдер Питер, Томс Сара</t>
  </si>
  <si>
    <t>Клиентоцентричность: Отношения с потребителями в цифровую эпоху</t>
  </si>
  <si>
    <t>AAA2502145-P</t>
  </si>
  <si>
    <t>978-5-9614-3690-7</t>
  </si>
  <si>
    <t>Сендеров Дмитрий</t>
  </si>
  <si>
    <t>Король рынка. Самая правильная книга о продажах</t>
  </si>
  <si>
    <t>LGA1806019-P</t>
  </si>
  <si>
    <t>978-5-6042319-3-7</t>
  </si>
  <si>
    <t>Белфорт Джордан</t>
  </si>
  <si>
    <t>Метод волка с Уолл-стрит: Откровения лучшего продавца в мире</t>
  </si>
  <si>
    <t>AAA2407024-P</t>
  </si>
  <si>
    <t>978-5-9614-6941-7</t>
  </si>
  <si>
    <t>Кендалл Ларри</t>
  </si>
  <si>
    <t>Ниндзя продаж: Тайное искусство больших побед</t>
  </si>
  <si>
    <t>AAA2502037-P</t>
  </si>
  <si>
    <t>978-5-9614-3965-6</t>
  </si>
  <si>
    <t>Шпирт Борис</t>
  </si>
  <si>
    <t>Отчаянные аккаунт-менеджеры: Как работать с клиентами без стресса и проблем. Настольная книга аккаунт-менеджера, менеджера проектов и фрилансера</t>
  </si>
  <si>
    <t>AAA2403016-P</t>
  </si>
  <si>
    <t>978-5-9614-6791-8</t>
  </si>
  <si>
    <t>Переговоры о цене: Как покупать дешево, а продавать дорого</t>
  </si>
  <si>
    <t>AAA2411032-P</t>
  </si>
  <si>
    <t>978-5-9614-8658-2</t>
  </si>
  <si>
    <t>Токовинин Михаил, Кардаш Матвей</t>
  </si>
  <si>
    <t>Продажи людям. amoCRM. От первого лица</t>
  </si>
  <si>
    <t>PGR2412047-P</t>
  </si>
  <si>
    <t>978-5-206-00003-0</t>
  </si>
  <si>
    <t>Черри Пол</t>
  </si>
  <si>
    <t>Продающие вопросы: Эффективный способ выяснить, чего действительно хотят ваши клиенты</t>
  </si>
  <si>
    <t>PGA2501211-P</t>
  </si>
  <si>
    <t>978-5-907394-65-0</t>
  </si>
  <si>
    <t>Антощенко Виталий</t>
  </si>
  <si>
    <t>Разгневанный Клиент, я люблю тебя</t>
  </si>
  <si>
    <t>PGR2501273-P</t>
  </si>
  <si>
    <t>978-5-907534-11-7</t>
  </si>
  <si>
    <t>Плотников Алексей</t>
  </si>
  <si>
    <t>Разумный сетевой маркетинг. Теория и практика построения успешного MLM-бизнеса</t>
  </si>
  <si>
    <t>PGR2304125-P</t>
  </si>
  <si>
    <t>978-5-206-00213-3</t>
  </si>
  <si>
    <t>Жеребцов Вячеслав</t>
  </si>
  <si>
    <t>Сервис-Кайдзен : Сердечное гостеприимство. Книга 1.</t>
  </si>
  <si>
    <t>LGA1807087-P Жеребцов</t>
  </si>
  <si>
    <t>978-5-9500962-8-0</t>
  </si>
  <si>
    <t>Скрипты продаж: Готовые сценарии "холодных" звонков и личных встреч</t>
  </si>
  <si>
    <t>AAA2502321-P</t>
  </si>
  <si>
    <t>978-5-9614-6922-6</t>
  </si>
  <si>
    <t>Шредер Кэрол</t>
  </si>
  <si>
    <t>Специализированный магазин: Строим успешный розничный бизнес</t>
  </si>
  <si>
    <t>PGA2404151-P</t>
  </si>
  <si>
    <t>978-5-206-00026-9</t>
  </si>
  <si>
    <t>Горбачев Владимир</t>
  </si>
  <si>
    <t>Стань МЛМ-лидером: Эффективная структура за два года</t>
  </si>
  <si>
    <t>PGR2405003-P</t>
  </si>
  <si>
    <t>978-5-206-00363-5</t>
  </si>
  <si>
    <t>Стратегические закупки : Пособие для профессионалов</t>
  </si>
  <si>
    <t>PGR2411184-P</t>
  </si>
  <si>
    <t>978-5-206-00444-1</t>
  </si>
  <si>
    <t>Колотилов Евгений, Лукич Радмило, авторов Коллектив</t>
  </si>
  <si>
    <t>Техника продаж крупным клиентам</t>
  </si>
  <si>
    <t>PGR2412088-P</t>
  </si>
  <si>
    <t>978-5-9614-6945-5</t>
  </si>
  <si>
    <t>Чулыгин Олег</t>
  </si>
  <si>
    <t>Тише! Говорит клиент. Как глубинные интервью помогают решать задачи бизнеса</t>
  </si>
  <si>
    <t>PGR2409013-P</t>
  </si>
  <si>
    <t>978-5-907470-13-2</t>
  </si>
  <si>
    <t>Парабеллум Андрей, Колотилов Евгений</t>
  </si>
  <si>
    <t>Удвоение личных продаж: Как менеджеру по продажам повысить свою эффективность</t>
  </si>
  <si>
    <t>AAA2502038-P</t>
  </si>
  <si>
    <t>978-5-9614-8956-9</t>
  </si>
  <si>
    <t>Майерсон Пол</t>
  </si>
  <si>
    <t>Управление цепочками поставок и логистикой  - простыми словами. Методы и практика планирования, построения, обслуживания, контроля и расширения системы перевозок и снабжения</t>
  </si>
  <si>
    <t>PGR2412254-P</t>
  </si>
  <si>
    <t>978-5-206-00002-3</t>
  </si>
  <si>
    <t>Ух ты! Сервис</t>
  </si>
  <si>
    <t>PGR2503084-P</t>
  </si>
  <si>
    <t>978-5-907394-14-8</t>
  </si>
  <si>
    <t>Человеку свойственно продавать: Удивительная правда о том, как побуждать других к действию</t>
  </si>
  <si>
    <t>LGR2307173-P</t>
  </si>
  <si>
    <t>978-5-6042880-2-3</t>
  </si>
  <si>
    <t>Экспертные продажи: Новые методы убеждения покупателей</t>
  </si>
  <si>
    <t>AAA2412269-P</t>
  </si>
  <si>
    <t>978-5-0063-0233-4</t>
  </si>
  <si>
    <t>4.11. Серия "Альпина Бизнес"</t>
  </si>
  <si>
    <t>Глазунов Ярослав</t>
  </si>
  <si>
    <t>[покет-серия] Анти-Титаник: Как выигрывать там, где тонут другие. Руководство для CEO</t>
  </si>
  <si>
    <t>LGA1909085-P</t>
  </si>
  <si>
    <t>978-5-907274-17-4</t>
  </si>
  <si>
    <t>Альпина.Бизнес</t>
  </si>
  <si>
    <t>Гроув Эндрю</t>
  </si>
  <si>
    <t>Выживают только параноики. Как использовать кризисные периоды, с которыми сталкивается любая компания</t>
  </si>
  <si>
    <t>AAA2404058-P</t>
  </si>
  <si>
    <t>978-5-9614-5402-4</t>
  </si>
  <si>
    <t>Золотые правила продаж: 75 техник успешных холодных звонков, убедительных презентаций и коммерческих предложений, от которых невозможно отказаться</t>
  </si>
  <si>
    <t>AAA2502314-P</t>
  </si>
  <si>
    <t>978-5-9614-9010-7</t>
  </si>
  <si>
    <t>Как придумать идею, если вы не Огилви</t>
  </si>
  <si>
    <t>AAA2311099-P</t>
  </si>
  <si>
    <t>978-5-9614-9444-0</t>
  </si>
  <si>
    <t>Бауэр Марвин</t>
  </si>
  <si>
    <t>[покет-серия] Курс на лидерство: Альтернатива иерархической системе управления компанией</t>
  </si>
  <si>
    <t>AAA1906094-P</t>
  </si>
  <si>
    <t>978-5-9614-2712-7</t>
  </si>
  <si>
    <t>[покет-серия] Маркетинг от А до Я: 80 концепций, которые должен знать каждый менеджер</t>
  </si>
  <si>
    <t>AAA2410313-P</t>
  </si>
  <si>
    <t>978-5-9614-2764-6</t>
  </si>
  <si>
    <t>Оценка компетенций методом интервью: Универсальное руководство</t>
  </si>
  <si>
    <t>AAA2410101-P</t>
  </si>
  <si>
    <t>978-5-9614-7841-9</t>
  </si>
  <si>
    <t>Фитцпатрик Роб</t>
  </si>
  <si>
    <t>[покет-серия] Спроси маму: Как общаться с клиентами и подтвердить правоту своей бизнес-идеи, если все кругом врут?</t>
  </si>
  <si>
    <t>AAA2410309-P</t>
  </si>
  <si>
    <t>978-5-9614-3045-5</t>
  </si>
  <si>
    <t>a170929</t>
  </si>
  <si>
    <t>978-5-9614-6172-5</t>
  </si>
  <si>
    <t>[покет-серия] Топ-менеджер: Как построить карьеру в международной корпорации</t>
  </si>
  <si>
    <t>AAA1909099-P</t>
  </si>
  <si>
    <t>978-5-9614-2966-4</t>
  </si>
  <si>
    <t>[покет-серия] Хватит быть славным парнем! Как добиться желаемого в любви, работе и жизни</t>
  </si>
  <si>
    <t>AAA2409167-P</t>
  </si>
  <si>
    <t>978-5-9614-2741-7</t>
  </si>
  <si>
    <t>4.12. Гарвардская школа бизнеса</t>
  </si>
  <si>
    <t>Галло Эми</t>
  </si>
  <si>
    <t>Гид HBR Разрешение конфликтов</t>
  </si>
  <si>
    <t>AAA2502298-P</t>
  </si>
  <si>
    <t>978-5-9614-3942-7</t>
  </si>
  <si>
    <t>HBR Guide</t>
  </si>
  <si>
    <t>Гид HBR Эффективная обратная связь</t>
  </si>
  <si>
    <t>AAA2410314-P</t>
  </si>
  <si>
    <t>978-5-9614-4023-2</t>
  </si>
  <si>
    <t>Инновационный менеджмент</t>
  </si>
  <si>
    <t>AAA2501051-P</t>
  </si>
  <si>
    <t>978-5-9614-6587-7</t>
  </si>
  <si>
    <t>22.01.2025</t>
  </si>
  <si>
    <t>Корпоративная культура</t>
  </si>
  <si>
    <t>AAA2403187-P</t>
  </si>
  <si>
    <t>978-5-9614-3838-3</t>
  </si>
  <si>
    <t>Лидерство</t>
  </si>
  <si>
    <t>AAA2501054-P</t>
  </si>
  <si>
    <t>978-5-9614-6755-0</t>
  </si>
  <si>
    <t>Личная эффективность</t>
  </si>
  <si>
    <t>AAA2401062-P</t>
  </si>
  <si>
    <t>978-5-9614-7013-0</t>
  </si>
  <si>
    <t>Менеджмент: Главные идеи. Лучшее за 2019</t>
  </si>
  <si>
    <t>AAA1809122-P</t>
  </si>
  <si>
    <t>978-5-9614-3132-2</t>
  </si>
  <si>
    <t>Ашкеназ Рон, Мэнвилл Брук</t>
  </si>
  <si>
    <t>Настольная книга лидера: Как управлять собой, вдохновлять команду и вывести компанию на новый уровень</t>
  </si>
  <si>
    <t>AAA2307018-P</t>
  </si>
  <si>
    <t>978-5-9614-3324-1</t>
  </si>
  <si>
    <t>Организационная устойчивость</t>
  </si>
  <si>
    <t>AAA2211041-P</t>
  </si>
  <si>
    <t>978-5-9614-7761-0</t>
  </si>
  <si>
    <t>Переговоры</t>
  </si>
  <si>
    <t>AAA2502215-P</t>
  </si>
  <si>
    <t>978-5-9614-3724-9</t>
  </si>
  <si>
    <t>Переосмысление роли HR</t>
  </si>
  <si>
    <t>AAA2404074-P</t>
  </si>
  <si>
    <t>978-5-9614-4500-8</t>
  </si>
  <si>
    <t>Платформы и экосистемы</t>
  </si>
  <si>
    <t>AAA2502143-P</t>
  </si>
  <si>
    <t>978-5-9614-7861-7</t>
  </si>
  <si>
    <t>Предпринимательство и стартапы</t>
  </si>
  <si>
    <t>AAA2404071-P</t>
  </si>
  <si>
    <t>978-5-9614-7479-4</t>
  </si>
  <si>
    <t>Руководство по улучшению бизнес-процессов</t>
  </si>
  <si>
    <t>AAA2312202-P</t>
  </si>
  <si>
    <t>978-5-9614-6928-8</t>
  </si>
  <si>
    <t>Стратегический маркетинг</t>
  </si>
  <si>
    <t>AAA2501050-P</t>
  </si>
  <si>
    <t>978-5-9614-6969-1</t>
  </si>
  <si>
    <t>Стратегия</t>
  </si>
  <si>
    <t>AAA2501055-P</t>
  </si>
  <si>
    <t>978-5-9614-7115-1</t>
  </si>
  <si>
    <t>Трансформация бизнес-модели</t>
  </si>
  <si>
    <t>AAA1907077-P</t>
  </si>
  <si>
    <t>978-5-9614-3999-1</t>
  </si>
  <si>
    <t>Управление бизнесом</t>
  </si>
  <si>
    <t>AAA2501053-P</t>
  </si>
  <si>
    <t>978-5-9614-6602-7</t>
  </si>
  <si>
    <t>Управление и лидерство для начинающих руководителей</t>
  </si>
  <si>
    <t>AAA2404068-P</t>
  </si>
  <si>
    <t>978-5-9614-8034-4</t>
  </si>
  <si>
    <t>Управление изменениями</t>
  </si>
  <si>
    <t>AAA2501052-P</t>
  </si>
  <si>
    <t>978-5-9614-6070-4</t>
  </si>
  <si>
    <t>Управление командой</t>
  </si>
  <si>
    <t>AAA2503219-P</t>
  </si>
  <si>
    <t>978-5-9614-6496-2</t>
  </si>
  <si>
    <t>Управление компанией</t>
  </si>
  <si>
    <t>AAA2404072-P</t>
  </si>
  <si>
    <t>978-5-9614-8033-7</t>
  </si>
  <si>
    <t>Управление персоналом</t>
  </si>
  <si>
    <t>AAA2410014-P</t>
  </si>
  <si>
    <t>978-5-9614-7116-8</t>
  </si>
  <si>
    <t>Управление рисками</t>
  </si>
  <si>
    <t>AAA2501182-P</t>
  </si>
  <si>
    <t>978-5-9614-8186-0</t>
  </si>
  <si>
    <t>Эмоциональный интеллект</t>
  </si>
  <si>
    <t>AAA2409119-P</t>
  </si>
  <si>
    <t>978-5-9614-7023-9</t>
  </si>
  <si>
    <t>4.13. Гибкие методы управления</t>
  </si>
  <si>
    <t>Аппело Юрген</t>
  </si>
  <si>
    <t>Agile-менеджмент: Лидерство и управление командами</t>
  </si>
  <si>
    <t>AAA2410330-P</t>
  </si>
  <si>
    <t>978-5-9614-6361-3</t>
  </si>
  <si>
    <t>Гибкие методы управления</t>
  </si>
  <si>
    <t>Швабер Кен</t>
  </si>
  <si>
    <t>Гибкое управление: Как перевести всю компанию на скрам</t>
  </si>
  <si>
    <t>AAA1908024-P</t>
  </si>
  <si>
    <t>978-5-9614-7745-0</t>
  </si>
  <si>
    <t>Барроуз  Майк</t>
  </si>
  <si>
    <t>Канбан Метод: Улучшение системы управления</t>
  </si>
  <si>
    <t>AAA2310015-P</t>
  </si>
  <si>
    <t>978-5-9614-3454-5</t>
  </si>
  <si>
    <t>Ларман Крэг, Водде Бас</t>
  </si>
  <si>
    <t>Масштабированный скрам: Как организовать гибкую разработку в крупной компании</t>
  </si>
  <si>
    <t>AAA1811071-P</t>
  </si>
  <si>
    <t>978-5-9614-3682-2</t>
  </si>
  <si>
    <t>Вискарди Стейша</t>
  </si>
  <si>
    <t>Руководство профессионального скрам-мастера: Практические советы по внедрению аджайл-подходов</t>
  </si>
  <si>
    <t>AAA1806003-P</t>
  </si>
  <si>
    <t>978-5-9614-3680-8</t>
  </si>
  <si>
    <t>Верхеен Гюнтер</t>
  </si>
  <si>
    <t>Скрам: Правила игры. Карманное руководство</t>
  </si>
  <si>
    <t>AAA1810113-P</t>
  </si>
  <si>
    <t>978-5-9614-3420-0</t>
  </si>
  <si>
    <t>05. Инвестиции, финансы, право</t>
  </si>
  <si>
    <t>5.01. Главные книги раздела</t>
  </si>
  <si>
    <t>Швагер Джек</t>
  </si>
  <si>
    <t>Великие маги хедж-фондов : Трейдеры, которые не проигрывают</t>
  </si>
  <si>
    <t>PGR2412136-P</t>
  </si>
  <si>
    <t>978-5-206-00063-4</t>
  </si>
  <si>
    <t>Пректер Роберт Р., Фрост А.Дж.</t>
  </si>
  <si>
    <t>Волновой принцип Эллиотта. Ключ к пониманию рынка</t>
  </si>
  <si>
    <t>PGR2410057-P</t>
  </si>
  <si>
    <t>978-5-9614-6995-0</t>
  </si>
  <si>
    <t>Веселко Анастасия</t>
  </si>
  <si>
    <t>Девушка с деньгами: Книга о финансах и здравом смысле</t>
  </si>
  <si>
    <t>AAA2410199-P</t>
  </si>
  <si>
    <t>978-5-9614-2800-1</t>
  </si>
  <si>
    <t>Дамодаран Асват</t>
  </si>
  <si>
    <t>Инвестиционная оценка. Инструменты и методы оценки любых активов</t>
  </si>
  <si>
    <t>AAA2410104-P</t>
  </si>
  <si>
    <t>978-5-9614-6650-8</t>
  </si>
  <si>
    <t>Кибало Семён</t>
  </si>
  <si>
    <t>Инвестор за выходные: Руководство по созданию пассивного дохода (2-е издание, обновленное и дополненное)</t>
  </si>
  <si>
    <t>AAA2409252-P</t>
  </si>
  <si>
    <t>978-5-9614-8766-4</t>
  </si>
  <si>
    <t>Бартон Биггс</t>
  </si>
  <si>
    <t>История инвестиционных стратегий. Как зарабатывались состояния во времена процветания и во времена испытаний</t>
  </si>
  <si>
    <t>LGI2203207-P</t>
  </si>
  <si>
    <t>978-5-907470-70-5</t>
  </si>
  <si>
    <t>AAA2411134-P</t>
  </si>
  <si>
    <t>978-5-0063-0483-3</t>
  </si>
  <si>
    <t>Таинственные маги рынка: лучшие трейдеры, о которых вы никогда не слышали</t>
  </si>
  <si>
    <t>PGR2412045-P</t>
  </si>
  <si>
    <t>978-5-907470-74-3</t>
  </si>
  <si>
    <t>Технический анализ. Полный курс</t>
  </si>
  <si>
    <t>AAA2407018-P</t>
  </si>
  <si>
    <t>978-5-9614-6782-6</t>
  </si>
  <si>
    <t>Нисон Стив</t>
  </si>
  <si>
    <t>Японские свечи. Графический анализ финансовых рынков</t>
  </si>
  <si>
    <t>PGR2404116-P</t>
  </si>
  <si>
    <t>978-5-6042882-0-7</t>
  </si>
  <si>
    <t>5.02. Финансовый менеджмент, корпоративные финансы, банки</t>
  </si>
  <si>
    <t>RECBOOK:Настольная книга по поддержке экспорта</t>
  </si>
  <si>
    <t>g161137</t>
  </si>
  <si>
    <t>978-5-9614-6360-6</t>
  </si>
  <si>
    <t>Волнин Владимир</t>
  </si>
  <si>
    <t>Аналитическая фабрика: Как настроить финансовую аналитику под задачи бизнеса</t>
  </si>
  <si>
    <t>AAA2410321-P</t>
  </si>
  <si>
    <t>978-5-9614-6211-1</t>
  </si>
  <si>
    <t>Генкин Артем, Михеев Алексей</t>
  </si>
  <si>
    <t>Блокчейн для всех: Как работают криптовалюты, BaaS, NFT, DeFi и другие новые финансовые технологии</t>
  </si>
  <si>
    <t>AAA2503107-P</t>
  </si>
  <si>
    <t>978-5-9614-8046-7</t>
  </si>
  <si>
    <t>Чибиняева Татьяна</t>
  </si>
  <si>
    <t>Главный по финансам: Как стать сильным финансовым директором</t>
  </si>
  <si>
    <t>AAA2201100-P</t>
  </si>
  <si>
    <t>978-5-9614-7755-9</t>
  </si>
  <si>
    <t>Романс Эндрю</t>
  </si>
  <si>
    <t>Повелители корпоративного венчурного капитала: Реальные истории корпоративных инвесторов</t>
  </si>
  <si>
    <t>PGR2206154-P</t>
  </si>
  <si>
    <t>978-5-907534-04-9</t>
  </si>
  <si>
    <t>Мухин Михаил</t>
  </si>
  <si>
    <t>Управление дебиторской задолженностью : Практическое руководство для разумных руковдителей</t>
  </si>
  <si>
    <t>g180409</t>
  </si>
  <si>
    <t>978-5-9614-2180-4</t>
  </si>
  <si>
    <t>Финансовая отчетность для руководителей и начинающих специалистов</t>
  </si>
  <si>
    <t>AAA2410102-P</t>
  </si>
  <si>
    <t>978-5-9614-6758-1</t>
  </si>
  <si>
    <t>Финансовый менеджмент для практиков: Полный курс МВА по корпоративным финансам ведущих бизнес-школ мира</t>
  </si>
  <si>
    <t>AAA2410280-P</t>
  </si>
  <si>
    <t>978-5-9614-3716-4</t>
  </si>
  <si>
    <t>Этрилл Питер, Маклейни Эдди</t>
  </si>
  <si>
    <t>Финансовый менеджмент и управленческий учет для руководителей и бизнесменов</t>
  </si>
  <si>
    <t>AAA2408081-P</t>
  </si>
  <si>
    <t>978-5-9614-6939-4</t>
  </si>
  <si>
    <t>5.03. Инвестиции, трейдинг, ценные бумаги</t>
  </si>
  <si>
    <t>Линч Питер</t>
  </si>
  <si>
    <t>Actio! Гид по успешному инвестированию для новичков и не только</t>
  </si>
  <si>
    <t>PGR2202252-P</t>
  </si>
  <si>
    <t>978-5-206-00053-5</t>
  </si>
  <si>
    <t>Льюис Майкл</t>
  </si>
  <si>
    <t>Flash Boys: Высокочастотная революция на Уолл-стрит</t>
  </si>
  <si>
    <t>PGR2408048-P</t>
  </si>
  <si>
    <t>978-5-907394-05-6</t>
  </si>
  <si>
    <t>Морозов И.В.</t>
  </si>
  <si>
    <t>FOREX: От простого к сложному</t>
  </si>
  <si>
    <t>PGR2412090-P</t>
  </si>
  <si>
    <t>978-5-907394-72-8</t>
  </si>
  <si>
    <t>Лобанов Михаил , Петрущенкова Татьяна</t>
  </si>
  <si>
    <t>Альтернативное кредитование. Инвестиции нового поколения</t>
  </si>
  <si>
    <t>g181128</t>
  </si>
  <si>
    <t>978-5-6042319-7-5</t>
  </si>
  <si>
    <t>Доннелли Брент</t>
  </si>
  <si>
    <t>Альфа-трейдер: Мышление, методология и математика профессионального трейдинга</t>
  </si>
  <si>
    <t>PGR2408099-P</t>
  </si>
  <si>
    <t>978-5-206-00397-0</t>
  </si>
  <si>
    <t>Великие инвесторы: Практические уроки от Джорджа Сороса, Уоррена Баффета, Джона Темплтона, Бенджамин Грэхема, Энтони Болтона, Чарльза Мангера, Питера Линча, Филипа Фишера, Джона Неффа</t>
  </si>
  <si>
    <t>PGR2409203-P</t>
  </si>
  <si>
    <t>978-5-9614-6964-6</t>
  </si>
  <si>
    <t>Дж. Мэрфи Джон</t>
  </si>
  <si>
    <t>Визуальный инвестор: Как выявлять рыночные тренды</t>
  </si>
  <si>
    <t>AAA2311032-P</t>
  </si>
  <si>
    <t>978-5-9614-5904-3</t>
  </si>
  <si>
    <t>Малкиел Бертон</t>
  </si>
  <si>
    <t>Десять главных правил для начинающего инвестора</t>
  </si>
  <si>
    <t>PGR2412048-P</t>
  </si>
  <si>
    <t>978-5-9614-6790-1</t>
  </si>
  <si>
    <t>За гранью японских свечей: Новые японские методы графического анализа</t>
  </si>
  <si>
    <t>PGR2409211-P</t>
  </si>
  <si>
    <t>978-5-907470-73-6</t>
  </si>
  <si>
    <t>Игра на понижение: Тайные пружины финансовой катастрофы</t>
  </si>
  <si>
    <t>AAA2501157-P</t>
  </si>
  <si>
    <t>978-5-9614-6716-1</t>
  </si>
  <si>
    <t>Отье Жеральд</t>
  </si>
  <si>
    <t>Из ряда вон! Как зарабатывать на альтернативных инвестициях</t>
  </si>
  <si>
    <t>LGA1812102-P</t>
  </si>
  <si>
    <t>978-5-6042878-6-6</t>
  </si>
  <si>
    <t>Тянь Чарли</t>
  </si>
  <si>
    <t>Инвестируй как гуру: Как повысить доходность и снизить риск с помощью стоимостного инвестирования</t>
  </si>
  <si>
    <t>AAA2104018-P</t>
  </si>
  <si>
    <t>978-5-9614-7205-9</t>
  </si>
  <si>
    <t>Коллектив авторов InfraONE</t>
  </si>
  <si>
    <t>Инвестиции в инфраструктуру : 2020, 2021, 2022. Сборник аналитики InfraOne Research. Лучшее</t>
  </si>
  <si>
    <t>LGI2107121-P</t>
  </si>
  <si>
    <t>978-5-907470-45-3</t>
  </si>
  <si>
    <t>GSL Law &amp; Consulting</t>
  </si>
  <si>
    <t>Как владеть иностранными компаниями и не иметь проблем с налоговой в России : Справочник по КИК</t>
  </si>
  <si>
    <t>PGR2312057-P</t>
  </si>
  <si>
    <t>978-5-206-00312-3</t>
  </si>
  <si>
    <t>Хачатрян Артем</t>
  </si>
  <si>
    <t>Как зарабатывать на акциях: Анализируем рынок, выбираем компании и формируем портфель</t>
  </si>
  <si>
    <t>AAA2410328-P</t>
  </si>
  <si>
    <t>978-5-9614-7453-4</t>
  </si>
  <si>
    <t>Как играть и выигрывать на бирже в XXI веке : Психология. Дисциплина. Торговые инструменты и системы. Контроль над рисками. Управление трейдингом</t>
  </si>
  <si>
    <t>PGR2411187-P</t>
  </si>
  <si>
    <t>978-5-206-00008-5</t>
  </si>
  <si>
    <t>Как играть и выигрывать на бирже: Психология. Технический анализ. Контроль над капиталом.</t>
  </si>
  <si>
    <t>AAA2501159-P</t>
  </si>
  <si>
    <t>978-5-9614-3587-0</t>
  </si>
  <si>
    <t>Чиркова Елена</t>
  </si>
  <si>
    <t>Как оценить бизнес по аналогии: Пособие по использованию сравнительных рыночных коэффициентов</t>
  </si>
  <si>
    <t>AAA2405111-P</t>
  </si>
  <si>
    <t>978-5-9614-9860-8</t>
  </si>
  <si>
    <t>Беккер Исаак</t>
  </si>
  <si>
    <t>Когда плохо - это хорошо: Как зарабатывать на инвестиционных идеях</t>
  </si>
  <si>
    <t>AAA2111094-P</t>
  </si>
  <si>
    <t>978-5-9614-3586-3</t>
  </si>
  <si>
    <t>Тернер Тони</t>
  </si>
  <si>
    <t>Краткосрочный трейдинг на фондовом рынке</t>
  </si>
  <si>
    <t>PGR2503092-P</t>
  </si>
  <si>
    <t>978-5-907394-96-4</t>
  </si>
  <si>
    <t>Герчик Александр</t>
  </si>
  <si>
    <t>Курс активного трейдера: Покупай, продавай, зарабатывай</t>
  </si>
  <si>
    <t>AAA2407106-P</t>
  </si>
  <si>
    <t>978-5-9614-2374-7</t>
  </si>
  <si>
    <t>Найман Эрик</t>
  </si>
  <si>
    <t>Малая энциклопедия трейдера</t>
  </si>
  <si>
    <t>AAA2411030-P</t>
  </si>
  <si>
    <t>978-5-9614-6887-8</t>
  </si>
  <si>
    <t>28.02.2025</t>
  </si>
  <si>
    <t>Бернстайн Уильям</t>
  </si>
  <si>
    <t>Манифест инвестора: Готовимся к потрясениям, процветанию и ко всему остальному</t>
  </si>
  <si>
    <t>PGR2409210-P</t>
  </si>
  <si>
    <t>978-5-907274-11-2</t>
  </si>
  <si>
    <t>Винс Ральф</t>
  </si>
  <si>
    <t>Математика управления капиталом</t>
  </si>
  <si>
    <t>PGR2412091-P</t>
  </si>
  <si>
    <t>978-5-9614-7052-9</t>
  </si>
  <si>
    <t>Метод Питера Линча: Стратегия и тактика индивидуального инвестора</t>
  </si>
  <si>
    <t>LGA2110022-P</t>
  </si>
  <si>
    <t>978-5-907274-13-6</t>
  </si>
  <si>
    <t>Богл Джон</t>
  </si>
  <si>
    <t>Не верьте цифрам! Размышления о заблуждениях инвесторов, капитализме, «взаимных» фондах, индексном инвестировании, предпринимательстве, идеализме и героях</t>
  </si>
  <si>
    <t>LGA2109160-P</t>
  </si>
  <si>
    <t>978-5-907394-74-2</t>
  </si>
  <si>
    <t>Жак Лоран</t>
  </si>
  <si>
    <t>Опасные игры с деривативами: Полувековая история провалов от Citibank до Barings, Societe Generale и AIG</t>
  </si>
  <si>
    <t>PGR2502095-P</t>
  </si>
  <si>
    <t>978-5-9614-1655-8</t>
  </si>
  <si>
    <t>Опционы. Полный курс для профессионалов</t>
  </si>
  <si>
    <t>AAA2410322-P</t>
  </si>
  <si>
    <t>978-5-9614-7124-3</t>
  </si>
  <si>
    <t>Миллер Джереми</t>
  </si>
  <si>
    <t>Правила инвестирования Уоррена Баффетта</t>
  </si>
  <si>
    <t>AAA2107120-P</t>
  </si>
  <si>
    <t>978-5-9614-7141-0</t>
  </si>
  <si>
    <t>Гюнтер Макс</t>
  </si>
  <si>
    <t>Принципы швейцарских финансистов. 12 аксиом успешного инвестирования</t>
  </si>
  <si>
    <t>LGA2105171-P</t>
  </si>
  <si>
    <t>978-5-907470-21-7</t>
  </si>
  <si>
    <t>Ричардс Карл</t>
  </si>
  <si>
    <t>Психология инвестирования: Как перестать делать глупости со своими деньгами</t>
  </si>
  <si>
    <t>AAA2112094-P</t>
  </si>
  <si>
    <t>978-5-9614-4145-1</t>
  </si>
  <si>
    <t>Стинбарджер Бретт</t>
  </si>
  <si>
    <t>Психология трейдинга: Инструменты и методы принятия решений</t>
  </si>
  <si>
    <t>PGR2501101-P</t>
  </si>
  <si>
    <t>978-5-907274-14-3</t>
  </si>
  <si>
    <t>Азиз Эндрю</t>
  </si>
  <si>
    <t>Руководство по дейтрейдингу для начинающих: Инструменты, торговые стратегии, психология</t>
  </si>
  <si>
    <t>AAA2101042-P</t>
  </si>
  <si>
    <t>978-5-9614-7406-0</t>
  </si>
  <si>
    <t>Руководство разумного инвестора: Надежный способ получения прибыли на фондовом рынке (новое, дополненное издание)</t>
  </si>
  <si>
    <t>AAA2502222-P</t>
  </si>
  <si>
    <t>978-5-9614-7185-4</t>
  </si>
  <si>
    <t>Фабоцци Фрэнк Дж.</t>
  </si>
  <si>
    <t>Рынок облигаций: Анализ и стратегии.</t>
  </si>
  <si>
    <t>AAA2403075-P</t>
  </si>
  <si>
    <t>978-5-9614-5442-0</t>
  </si>
  <si>
    <t>Маркс Говард</t>
  </si>
  <si>
    <t>Рыночные циклы: Как выявлять и использовать закономерности для успешного инвестирования</t>
  </si>
  <si>
    <t>PGR2501286-P</t>
  </si>
  <si>
    <t>978-5-6042881-4-6</t>
  </si>
  <si>
    <t>Самоучитель трейдера: Психология, техника, тактика и стратегия</t>
  </si>
  <si>
    <t>PGR2502046-P</t>
  </si>
  <si>
    <t>978-5-6042880-3-0</t>
  </si>
  <si>
    <t>Уильямс Ларри</t>
  </si>
  <si>
    <t>Секреты торговли на фьючерсном рынке: Действуйте вместе с инсайдерами</t>
  </si>
  <si>
    <t>PGR2410358-P</t>
  </si>
  <si>
    <t>978-5-907274-04-4</t>
  </si>
  <si>
    <t>Кауфман Перри</t>
  </si>
  <si>
    <t>Системы и методы биржевой торговли</t>
  </si>
  <si>
    <t>PGR2410141-P</t>
  </si>
  <si>
    <t>978-5-206-00007-8</t>
  </si>
  <si>
    <t>Стоимостное инвестирование в лицах и принципах</t>
  </si>
  <si>
    <t>AAA2103126-P</t>
  </si>
  <si>
    <t>978-5-9614-7431-2</t>
  </si>
  <si>
    <t>Технический анализ фьючерсных рынков: Теория и практика</t>
  </si>
  <si>
    <t>AAA2409181-P</t>
  </si>
  <si>
    <t>978-5-9614-6771-0</t>
  </si>
  <si>
    <t>Вильямс Билл, Грегори-Вильямс Джастин</t>
  </si>
  <si>
    <t>Торговый хаос: Увеличение прибыли методами технического анализа</t>
  </si>
  <si>
    <t>PGR2501214-P</t>
  </si>
  <si>
    <t>978-5-907274-99-0</t>
  </si>
  <si>
    <t>Лин Кетти, Шлоссберг Борис</t>
  </si>
  <si>
    <t>Трейдеры-миллионеры: Как переиграть профессионалов Уолл-стрит на их собственном поле</t>
  </si>
  <si>
    <t>PGR2311005-P</t>
  </si>
  <si>
    <t>978-5-907274-93-8</t>
  </si>
  <si>
    <t>Арчер Майкл</t>
  </si>
  <si>
    <t>Трейдинг на валютном рынке для начинающих</t>
  </si>
  <si>
    <t>PGR2501001-P</t>
  </si>
  <si>
    <t>978-5-907274-95-2</t>
  </si>
  <si>
    <t>Трейдинг с доктором Элдером: Энциклопедия биржевой игры</t>
  </si>
  <si>
    <t>AAA2503149-P</t>
  </si>
  <si>
    <t>978-5-9614-6918-9</t>
  </si>
  <si>
    <t>Трейдинг: Первые шаги</t>
  </si>
  <si>
    <t>AAA2409175-P</t>
  </si>
  <si>
    <t>978-5-9614-6906-6</t>
  </si>
  <si>
    <t>Эдлесон  Майкл</t>
  </si>
  <si>
    <t>Усреднение ценности: Простая и надежная стратегия повышения доходности инвестиций на фондовом рынке</t>
  </si>
  <si>
    <t>AAA2008065-P</t>
  </si>
  <si>
    <t>978-5-9614-7515-9</t>
  </si>
  <si>
    <t>Мальков Антон</t>
  </si>
  <si>
    <t>Ценообразование IPO и SPO. На пути от старого рынка к новому</t>
  </si>
  <si>
    <t>PGR2402185-P</t>
  </si>
  <si>
    <t>978-5-206-00340-6</t>
  </si>
  <si>
    <t>Колби Роберт</t>
  </si>
  <si>
    <t>Энциклопедия технических индикаторов рынка</t>
  </si>
  <si>
    <t>AAA2410206-P</t>
  </si>
  <si>
    <t>978-5-9614-9455-6</t>
  </si>
  <si>
    <t>5.04. Личные финансы</t>
  </si>
  <si>
    <t>Семенчук Вячеслав, Марков Глеб</t>
  </si>
  <si>
    <t>101 способ создания новых источников дохода : Как зарабатывать на всем и всегда</t>
  </si>
  <si>
    <t>PGR2412178-P</t>
  </si>
  <si>
    <t>978-5-907274-65-5</t>
  </si>
  <si>
    <t>Девушка с деньгами: Рабочая тетрадь по личным финансам</t>
  </si>
  <si>
    <t>AAA2410198-P</t>
  </si>
  <si>
    <t>978-5-9614-7597-5</t>
  </si>
  <si>
    <t>Силаев Александр</t>
  </si>
  <si>
    <t>Деньги без дураков: Почему инвестировать сложнее, чем кажется, и как это делать правильно</t>
  </si>
  <si>
    <t>AAA2411035-P</t>
  </si>
  <si>
    <t>978-5-9614-2664-9</t>
  </si>
  <si>
    <t>Богдашевский Артем</t>
  </si>
  <si>
    <t>Основы финансовой грамотности. Краткий курс</t>
  </si>
  <si>
    <t>PGR2501178-P</t>
  </si>
  <si>
    <t>978-5-206-00191-4</t>
  </si>
  <si>
    <t>Переиграть Уолл-стрит</t>
  </si>
  <si>
    <t>PGR2501085-P</t>
  </si>
  <si>
    <t>978-5-206-00052-8</t>
  </si>
  <si>
    <t>Филатова Инна</t>
  </si>
  <si>
    <t>Семейные финансы  — это просто: Подсказки, советы и решения для вашего бюджета</t>
  </si>
  <si>
    <t>AAA2502139-P</t>
  </si>
  <si>
    <t>978-5-9614-8236-2</t>
  </si>
  <si>
    <t>Майер Кристофер</t>
  </si>
  <si>
    <t>Философия Стократа. Ищем акции, которые приносят максимальный доход</t>
  </si>
  <si>
    <t>PGR2204024-P</t>
  </si>
  <si>
    <t>978-5-206-00047-4</t>
  </si>
  <si>
    <t>5.05. Налоги, право, учет</t>
  </si>
  <si>
    <t>Сычев А.М., Ревенков П.В., Дудка А.Б.</t>
  </si>
  <si>
    <t>Безопасность электронного банкинга</t>
  </si>
  <si>
    <t>z170313</t>
  </si>
  <si>
    <t>978-5-9908133-4-2</t>
  </si>
  <si>
    <t>Ёлгина Елена, Смолякова Елена, Мельников Александр</t>
  </si>
  <si>
    <t>Всё о бизнесе за два часа : Секреты юристов и бухгалтеров</t>
  </si>
  <si>
    <t>PGR2404201-P</t>
  </si>
  <si>
    <t>978-5-6042319-2-0</t>
  </si>
  <si>
    <t>Мерген Дораев</t>
  </si>
  <si>
    <t>Путь литигатора Чему самурайский кодекс может научить судебного юриста</t>
  </si>
  <si>
    <t>PGR2112007-P</t>
  </si>
  <si>
    <t>978-5-907534-41-4</t>
  </si>
  <si>
    <t>Ильяхов Максим, Башук Алексей</t>
  </si>
  <si>
    <t>Своровали? Накажи! Книга о защите интеллектуальных прав</t>
  </si>
  <si>
    <t>AAA2303165-P</t>
  </si>
  <si>
    <t>978-5-9614-7756-6</t>
  </si>
  <si>
    <t>AAA2409193-P</t>
  </si>
  <si>
    <t>978-5-0063-0170-2</t>
  </si>
  <si>
    <t>06. Стиль жизни</t>
  </si>
  <si>
    <t>6.01. Главные книги раздела</t>
  </si>
  <si>
    <t>Совиярви Олли, Халметоя Яакко, Арина Теэму</t>
  </si>
  <si>
    <t>Биохакинг: Руководство по раскрытию потенциала организма</t>
  </si>
  <si>
    <t>AAA2410293-P</t>
  </si>
  <si>
    <t>978-5-9614-1065-5</t>
  </si>
  <si>
    <t>11.02.2025</t>
  </si>
  <si>
    <t>Скотницки Сэнди, Шульган Кристофер</t>
  </si>
  <si>
    <t>Бьюти-минимализм: Чем опасен гиперуход за кожей и что делать, чтобы не навредить себе</t>
  </si>
  <si>
    <t>AAA2103194-P</t>
  </si>
  <si>
    <t>978-5-9614-3238-1</t>
  </si>
  <si>
    <t>[переплет] Искусство жить просто: Как избавиться от лишнего и обогатить свою жизнь</t>
  </si>
  <si>
    <t>AAA2402036-P</t>
  </si>
  <si>
    <t>978-5-9614-6950-9</t>
  </si>
  <si>
    <t>Безрукова Наталия</t>
  </si>
  <si>
    <t>Карту в руки : Как разрабатывать и продвигать программу лояльности в культурных пространствах</t>
  </si>
  <si>
    <t>PGR2309115-P</t>
  </si>
  <si>
    <t>978-5-206-00268-3</t>
  </si>
  <si>
    <t>Фануз Набиль</t>
  </si>
  <si>
    <t>Простые правила хорошей жизни: 27 жемчужин мудрости</t>
  </si>
  <si>
    <t>AAA2208067-P</t>
  </si>
  <si>
    <t>978-5-9614-8261-4</t>
  </si>
  <si>
    <t>Карлинг Катя</t>
  </si>
  <si>
    <t>Скандинавский дизайн: Как сделать дом уютным</t>
  </si>
  <si>
    <t>AAA2410284-P</t>
  </si>
  <si>
    <t>978-5-9614-9027-5</t>
  </si>
  <si>
    <t>Кутчер Дженна</t>
  </si>
  <si>
    <t>Ты как, только честно? Прислушайся к себе и начни жить по-настоящему</t>
  </si>
  <si>
    <t>AAA2209040-P</t>
  </si>
  <si>
    <t>978-5-9614-8313-0</t>
  </si>
  <si>
    <t>Сефериан Стефани</t>
  </si>
  <si>
    <t>Экологически ориентированный минимализм. План по спасению себя и планеты</t>
  </si>
  <si>
    <t>PGR2112136-P</t>
  </si>
  <si>
    <t>978-5-907534-64-3</t>
  </si>
  <si>
    <t>6.02. Здоровье, спорт</t>
  </si>
  <si>
    <t>Голдман Артём, Безымянный Алексей</t>
  </si>
  <si>
    <t>Биохакнутый: Как держать здоровье под контролем, чтобы чувствовать себя  на 100%</t>
  </si>
  <si>
    <t>AAA2005155-P</t>
  </si>
  <si>
    <t>978-5-9614-3758-4</t>
  </si>
  <si>
    <t>Левенфиш Григорий</t>
  </si>
  <si>
    <t>Книга начинающего шахматиста</t>
  </si>
  <si>
    <t>AAA2410186-P</t>
  </si>
  <si>
    <t>978-5-9614-6698-0</t>
  </si>
  <si>
    <t>Фоменко Андрей</t>
  </si>
  <si>
    <t>Фокус на жизнь. Научный подход к продлению молодости и сохранению здоровья</t>
  </si>
  <si>
    <t>LGA2103237-P</t>
  </si>
  <si>
    <t>978-5-907394-82-7</t>
  </si>
  <si>
    <t>6.03. Йога</t>
  </si>
  <si>
    <t>Йога Дипика: Прояснение йоги</t>
  </si>
  <si>
    <t>NNN2405013-P</t>
  </si>
  <si>
    <t>978-5-91671-908-6</t>
  </si>
  <si>
    <t>[обложка] Прояснение Пранаямы. Пранаяма Дипика</t>
  </si>
  <si>
    <t>NNN2412068-P</t>
  </si>
  <si>
    <t>978-5-00139-942-1</t>
  </si>
  <si>
    <t>Свет жизни: йога</t>
  </si>
  <si>
    <t>NNN2501037-P</t>
  </si>
  <si>
    <t>978-5-91671-883-6</t>
  </si>
  <si>
    <t>6.04. Красота и история моды</t>
  </si>
  <si>
    <t>Томас Дана</t>
  </si>
  <si>
    <t>Fashionopolis: Цена быстрой моды и будущее одежды</t>
  </si>
  <si>
    <t>NNN2003047-P</t>
  </si>
  <si>
    <t>978-5-00139-586-7</t>
  </si>
  <si>
    <t>Кичигина Раиса</t>
  </si>
  <si>
    <t>В своем стиле: Гид по осознанному выбору одежды</t>
  </si>
  <si>
    <t>AAA2012319-P</t>
  </si>
  <si>
    <t>978-5-9614-6938-7</t>
  </si>
  <si>
    <t>Сирин София</t>
  </si>
  <si>
    <t>Плохие девочки не худеют: Как обрести свободу, внутреннюю гармонию и стройную фигуру без диет и самоограничений</t>
  </si>
  <si>
    <t>PGR2410373-P</t>
  </si>
  <si>
    <t>978-5-206-00330-7</t>
  </si>
  <si>
    <t>Ивлева Натэлла</t>
  </si>
  <si>
    <t>Эволюция образа глазами гримера: Краткий экскурс в историю макияжа и прически</t>
  </si>
  <si>
    <t>PGR2107126-P</t>
  </si>
  <si>
    <t>978-5-206-00025-2</t>
  </si>
  <si>
    <t>Васильев Александр</t>
  </si>
  <si>
    <t>Этюды о моде и стиле</t>
  </si>
  <si>
    <t>NNN2401007-P</t>
  </si>
  <si>
    <t>978-5-91671-758-7</t>
  </si>
  <si>
    <t>6.05. Все о еде</t>
  </si>
  <si>
    <t>Боннé Джон</t>
  </si>
  <si>
    <t>Вино по правилам и без: Исчерпывающее руководство для любителей вина</t>
  </si>
  <si>
    <t>AAA1810013-P</t>
  </si>
  <si>
    <t>978-5-9614-1384-7</t>
  </si>
  <si>
    <t>Щекин Владимир</t>
  </si>
  <si>
    <t>Винология : Записки профессионального гурмана о лучшем из напитков и культуре его потребления</t>
  </si>
  <si>
    <t>PGR2412298-P</t>
  </si>
  <si>
    <t>978-5-206-00193-8</t>
  </si>
  <si>
    <t>Биттман Марк</t>
  </si>
  <si>
    <t>Общество поглощения: Человечество в поисках еды</t>
  </si>
  <si>
    <t>NNN2104022-P</t>
  </si>
  <si>
    <t>978-5-00139-465-5</t>
  </si>
  <si>
    <t>Гильман Елизавета</t>
  </si>
  <si>
    <t>[покет-серия] Помирись с едой: Как забыть о диетах и перейти на интуитивное питание</t>
  </si>
  <si>
    <t>AAA2409251-P</t>
  </si>
  <si>
    <t>978-5-9614-9189-0</t>
  </si>
  <si>
    <t>Пунш Ева</t>
  </si>
  <si>
    <t>[обложка] Сам себе шеф-повар: Как научиться готовить без рецептов</t>
  </si>
  <si>
    <t>AAA2410185-P</t>
  </si>
  <si>
    <t>978-5-9614-6345-3</t>
  </si>
  <si>
    <t>Кларк Нэнси</t>
  </si>
  <si>
    <t>Спортивное питание для профессионалов и любителей. Полное руководство</t>
  </si>
  <si>
    <t>PGR2412252-P</t>
  </si>
  <si>
    <t>978-5-907394-60-5</t>
  </si>
  <si>
    <t>Ян Давид</t>
  </si>
  <si>
    <t>Теперь я ем все, что хочу! Система питания Давида Яна</t>
  </si>
  <si>
    <t>AAA2301130-P</t>
  </si>
  <si>
    <t>978-5-9614-6388-0</t>
  </si>
  <si>
    <t>Кесоян Светлана</t>
  </si>
  <si>
    <t>Торт</t>
  </si>
  <si>
    <t>a161014</t>
  </si>
  <si>
    <t>978-5-9614-5960-9</t>
  </si>
  <si>
    <t>Карпова Ольга</t>
  </si>
  <si>
    <t>Фермерский обед. Как создавать кулинарные шедевры из натуральных продуктов</t>
  </si>
  <si>
    <t>LGI1811114-P Карпова</t>
  </si>
  <si>
    <t>978-5-9500962-3-5</t>
  </si>
  <si>
    <t>6.06. Серия "Стиль жизни" (покеты)</t>
  </si>
  <si>
    <t>Силли Марла, Эли Линн</t>
  </si>
  <si>
    <t>[покет-серия] Тело в порядке: Настрой, еда, движение</t>
  </si>
  <si>
    <t>AAA1902122-P</t>
  </si>
  <si>
    <t>978-5-9614-2756-1</t>
  </si>
  <si>
    <t>Стиль жизни</t>
  </si>
  <si>
    <t>07. Книги для детей</t>
  </si>
  <si>
    <t>7.00. Главные книги раздела</t>
  </si>
  <si>
    <t>31 день до Нового года. Адвент-календарь</t>
  </si>
  <si>
    <t>ADK2310143-P</t>
  </si>
  <si>
    <t>978-5-9614-9362-7</t>
  </si>
  <si>
    <t>[зеленый] 6 минут для детей: Первый мотивационный ежедневник ребенка</t>
  </si>
  <si>
    <t>ADK2401168-P</t>
  </si>
  <si>
    <t>978-5-9614-8769-5</t>
  </si>
  <si>
    <t>[жираф] 6 минут для детей: Первый мотивационный ежедневник ребенка</t>
  </si>
  <si>
    <t>ADH2401166-P</t>
  </si>
  <si>
    <t>978-5-9614-9583-6</t>
  </si>
  <si>
    <t>Деньгина Анна</t>
  </si>
  <si>
    <t>[синий] 6 минут для детей: финансовая грамотность. Первый финансовый блокнот ребёнка</t>
  </si>
  <si>
    <t>ADK2410267-P</t>
  </si>
  <si>
    <t>978-5-9614-9384-9</t>
  </si>
  <si>
    <t>Можгина  Александра, Ремез Софья</t>
  </si>
  <si>
    <t>Алиса, привет! Приключения Ксюши, Серёжи и Ляпсуса в мире высоких технологий</t>
  </si>
  <si>
    <t>PGR2406105-P</t>
  </si>
  <si>
    <t>978-5-206-00378-9</t>
  </si>
  <si>
    <t>Бранкович Лидия</t>
  </si>
  <si>
    <t>Гранд-отель чувств</t>
  </si>
  <si>
    <t>ADK2409266-P</t>
  </si>
  <si>
    <t>978-5-0063-0184-9</t>
  </si>
  <si>
    <t>Огризек Маша</t>
  </si>
  <si>
    <t>Дама в шляпе</t>
  </si>
  <si>
    <t>Пер. с слов.</t>
  </si>
  <si>
    <t>ADK2303202-P</t>
  </si>
  <si>
    <t>978-5-9614-8776-3</t>
  </si>
  <si>
    <t>Щербак Полина</t>
  </si>
  <si>
    <t>Дед Кошмар и сбежавшие желания</t>
  </si>
  <si>
    <t>ADK2407111-P</t>
  </si>
  <si>
    <t>978-5-0063-0014-9</t>
  </si>
  <si>
    <t>Инден  Шарлотта</t>
  </si>
  <si>
    <t>Дорогой Санта! История волшебной переписки</t>
  </si>
  <si>
    <t>ADK2404054-P</t>
  </si>
  <si>
    <t>978-5-9614-9764-9</t>
  </si>
  <si>
    <t>Зоопарк. Раскраска-плакат</t>
  </si>
  <si>
    <t>ADK2405120-P</t>
  </si>
  <si>
    <t>978-5-9614-9866-0</t>
  </si>
  <si>
    <t>Несхёфер Нанна</t>
  </si>
  <si>
    <t>Когда мне грустно</t>
  </si>
  <si>
    <t>ADK2307046-P</t>
  </si>
  <si>
    <t>978-5-9614-9093-0</t>
  </si>
  <si>
    <t>Терапевтические сказки</t>
  </si>
  <si>
    <t>Когда я боюсь</t>
  </si>
  <si>
    <t>ADK2307045-P</t>
  </si>
  <si>
    <t>978-5-9614-9092-3</t>
  </si>
  <si>
    <t>Когда я злюсь</t>
  </si>
  <si>
    <t>ADK2307044-P</t>
  </si>
  <si>
    <t>978-5-9614-9091-6</t>
  </si>
  <si>
    <t>Шнайдер Лиана</t>
  </si>
  <si>
    <t>Конни и незнакомец</t>
  </si>
  <si>
    <t>ADH2304111-P</t>
  </si>
  <si>
    <t>978-5-9614-8924-8</t>
  </si>
  <si>
    <t>Лучший друг - Конни</t>
  </si>
  <si>
    <t>Конни идет в детский сад</t>
  </si>
  <si>
    <t>ADK2409269-P</t>
  </si>
  <si>
    <t>978-5-9614-8923-1</t>
  </si>
  <si>
    <t>Конни не может уснуть</t>
  </si>
  <si>
    <t>ADH2204057-P</t>
  </si>
  <si>
    <t>978-5-9614-2727-1</t>
  </si>
  <si>
    <t>ADH2304116-P</t>
  </si>
  <si>
    <t>978-5-9614-8926-2</t>
  </si>
  <si>
    <t>Конни помогает маме</t>
  </si>
  <si>
    <t>ADK2412200-P</t>
  </si>
  <si>
    <t>978-5-9614-9466-2</t>
  </si>
  <si>
    <t>Леденцовая банда ищет приключений</t>
  </si>
  <si>
    <t>ADK2402082-P</t>
  </si>
  <si>
    <t>978-5-9614-9682-6</t>
  </si>
  <si>
    <t>Леденцовая банда</t>
  </si>
  <si>
    <t>Леденцовая банда укрощает дракона</t>
  </si>
  <si>
    <t>ADK2402144-P</t>
  </si>
  <si>
    <t>978-5-9614-9683-3</t>
  </si>
  <si>
    <t>Миллер Шанель</t>
  </si>
  <si>
    <t>Магнолия У раскрывает тайны потерянных носков</t>
  </si>
  <si>
    <t>ADK2405025-P</t>
  </si>
  <si>
    <t>978-5-9614-9825-7</t>
  </si>
  <si>
    <t>Маленькая всемирная история</t>
  </si>
  <si>
    <t>NNN2304164-P</t>
  </si>
  <si>
    <t>978-5-00139-522-5</t>
  </si>
  <si>
    <t>Оперы и призраки. Страшные истории в буквах и картинках</t>
  </si>
  <si>
    <t>ADK2211064-P</t>
  </si>
  <si>
    <t>978-5-9614-8430-4</t>
  </si>
  <si>
    <t>Уилсон Хенрике</t>
  </si>
  <si>
    <t>Поросёнок весь день капризничает</t>
  </si>
  <si>
    <t>ADK2306113-P</t>
  </si>
  <si>
    <t>978-5-9614-9050-3</t>
  </si>
  <si>
    <t>Хрюша Хрюшкин. Истории с хвостиком</t>
  </si>
  <si>
    <t>Ширнек  Хуберт</t>
  </si>
  <si>
    <t>Приключения Конрада Фрюлинга</t>
  </si>
  <si>
    <t>ADK2402065-P</t>
  </si>
  <si>
    <t>978-5-9614-9835-6</t>
  </si>
  <si>
    <t>Релье Грегг, Вайсс Джошуа</t>
  </si>
  <si>
    <t>Проблема на водопое. Приключения Эмо и Чики</t>
  </si>
  <si>
    <t>ADH2210186-P</t>
  </si>
  <si>
    <t>978-5-9614-7429-9</t>
  </si>
  <si>
    <t>Азбука общения</t>
  </si>
  <si>
    <t>Варга Жасмин</t>
  </si>
  <si>
    <t>Резилиенс. Марсоход с большим сердцем</t>
  </si>
  <si>
    <t>ADK2412038-P</t>
  </si>
  <si>
    <t>978-5-9614-8880-7</t>
  </si>
  <si>
    <t>Вилльс Анна, Томм Нора</t>
  </si>
  <si>
    <t>Религии мира. Кто во что верит? Виммельбух для детей и взрослых</t>
  </si>
  <si>
    <t>ADH2407065-P</t>
  </si>
  <si>
    <t>978-5-9614-8268-3</t>
  </si>
  <si>
    <t>Рауш Саша</t>
  </si>
  <si>
    <t>Секреты кошек. Как понять свою кошку и подружиться с ней</t>
  </si>
  <si>
    <t>ADH2308137-P</t>
  </si>
  <si>
    <t>978-5-9614-8202-7</t>
  </si>
  <si>
    <t>Сорига Флавио</t>
  </si>
  <si>
    <t>Синьор Колбаска : История о ёжиках, дедушках и бабушках и об изменении климата</t>
  </si>
  <si>
    <t>ADK2406165-P</t>
  </si>
  <si>
    <t>978-5-9614-9972-8</t>
  </si>
  <si>
    <t>Сказки. 10 классических историй для самых маленьких</t>
  </si>
  <si>
    <t>ADK2406120-P</t>
  </si>
  <si>
    <t>978-5-9614-9949-0</t>
  </si>
  <si>
    <t>Андерсен Ханс Кристиан</t>
  </si>
  <si>
    <t>Стойкий оловянный солдатик</t>
  </si>
  <si>
    <t>ADH2208097-P</t>
  </si>
  <si>
    <t>978-5-9614-8273-7</t>
  </si>
  <si>
    <t>Бояринов Денис</t>
  </si>
  <si>
    <t>Цой. История рок-звезды в буквах и картинках</t>
  </si>
  <si>
    <t>ADK2501069-P</t>
  </si>
  <si>
    <t>978-5-9614-8431-1</t>
  </si>
  <si>
    <t>Соломатина Ольга</t>
  </si>
  <si>
    <t>Чему я могу научиться у Илона Маска</t>
  </si>
  <si>
    <t>ADH2412278-P</t>
  </si>
  <si>
    <t>978-5-9614-2442-3</t>
  </si>
  <si>
    <t>Мариньо Соледад Ромеро, Кабасса Мариона</t>
  </si>
  <si>
    <t>Чудесная книга смерти</t>
  </si>
  <si>
    <t>ADK2405095-P</t>
  </si>
  <si>
    <t>978-5-9614-9858-5</t>
  </si>
  <si>
    <t>Рупасова Маша</t>
  </si>
  <si>
    <t>Чудесные превращения Марьи Петровны Уткиной</t>
  </si>
  <si>
    <t>ADK2412039-P</t>
  </si>
  <si>
    <t>978-5-9614-9430-3</t>
  </si>
  <si>
    <t>7.01. 4К — навыки будущего</t>
  </si>
  <si>
    <t>Шиманская Виктория, Карпов Никита</t>
  </si>
  <si>
    <t>Командная работа: Запуск проекта любой сложности</t>
  </si>
  <si>
    <t>ADH2308136-P</t>
  </si>
  <si>
    <t>978-5-9614-9188-3</t>
  </si>
  <si>
    <t>4К - навыки будущего</t>
  </si>
  <si>
    <t>ADH2401046-P</t>
  </si>
  <si>
    <t>978-5-9614-9546-1</t>
  </si>
  <si>
    <t>Шиманская Виктория</t>
  </si>
  <si>
    <t>Коммуникация: Найди общий язык с кем угодно</t>
  </si>
  <si>
    <t>ADH2401045-P</t>
  </si>
  <si>
    <t>978-5-9614-8125-9</t>
  </si>
  <si>
    <t>Намаконов Игорь</t>
  </si>
  <si>
    <t>Креативность: 31 способ заставить мозг работать</t>
  </si>
  <si>
    <t>ADH2401044-P</t>
  </si>
  <si>
    <t>978-5-9614-8620-9</t>
  </si>
  <si>
    <t>ADH2308132-P</t>
  </si>
  <si>
    <t>978-5-9614-9184-5</t>
  </si>
  <si>
    <t>Непряхин Никита, Пащенко Тарас</t>
  </si>
  <si>
    <t>Критическое мышление: Железная логика на все случаи жизни</t>
  </si>
  <si>
    <t>ADH2311265-P</t>
  </si>
  <si>
    <t>978-5-9614-8133-4</t>
  </si>
  <si>
    <t>7.02. Стихи для детей</t>
  </si>
  <si>
    <t>Кисельные берега</t>
  </si>
  <si>
    <t>ADK2310121-P</t>
  </si>
  <si>
    <t>978-5-9614-9351-1</t>
  </si>
  <si>
    <t>Стихи для детей</t>
  </si>
  <si>
    <t>Четверкина Анастасия</t>
  </si>
  <si>
    <t>Кремниевая малина. Истории из Кремниевой долины</t>
  </si>
  <si>
    <t>PGR2210212-P</t>
  </si>
  <si>
    <t>978-5-206-00131-0</t>
  </si>
  <si>
    <t>Варичева Татьяна</t>
  </si>
  <si>
    <t>Лучший зверь во всей вселенной! Таткаест обыкновенный</t>
  </si>
  <si>
    <t>ADH2206044-P Варичева</t>
  </si>
  <si>
    <t>978-5-9614-8266-9</t>
  </si>
  <si>
    <t>3+</t>
  </si>
  <si>
    <t>Мартын и Барсик. Два кота - красота!</t>
  </si>
  <si>
    <t>ADH2305064-P</t>
  </si>
  <si>
    <t>978-5-9614-8968-2</t>
  </si>
  <si>
    <t>Машинки-помощники</t>
  </si>
  <si>
    <t>ADK2412149-P</t>
  </si>
  <si>
    <t>978-5-9614-8765-7</t>
  </si>
  <si>
    <t>Коскина Ксения</t>
  </si>
  <si>
    <t>Насекомыши. Стихи про насекомых и мышей</t>
  </si>
  <si>
    <t>ADK2307066-P</t>
  </si>
  <si>
    <t>978-5-9614-8703-9</t>
  </si>
  <si>
    <t>Пишет бабушка Зима</t>
  </si>
  <si>
    <t>ADK2301089-P</t>
  </si>
  <si>
    <t>978-5-9614-8623-0</t>
  </si>
  <si>
    <t>Райдер  Катя</t>
  </si>
  <si>
    <t>Поросёнок идёт в детский сад</t>
  </si>
  <si>
    <t>ADK2306112-P</t>
  </si>
  <si>
    <t>978-5-9614-9049-7</t>
  </si>
  <si>
    <t>Поросёнок идёт к врачу</t>
  </si>
  <si>
    <t>ADK2306116-P</t>
  </si>
  <si>
    <t>978-5-9614-9053-4</t>
  </si>
  <si>
    <t>Поросёнок, пора купаться!</t>
  </si>
  <si>
    <t>ADK2306115-P</t>
  </si>
  <si>
    <t>978-5-9614-9052-7</t>
  </si>
  <si>
    <t>Поросёнок, пора спать!</t>
  </si>
  <si>
    <t>ADK2306114-P</t>
  </si>
  <si>
    <t>978-5-9614-9051-0</t>
  </si>
  <si>
    <t>Сказки о царе Колбаске</t>
  </si>
  <si>
    <t>ADH2410266-P</t>
  </si>
  <si>
    <t>978-5-9614-8345-1</t>
  </si>
  <si>
    <t>7.03. Познавательные и развлекательные книги для детей</t>
  </si>
  <si>
    <t>А где все? Пики и Клювик летят на поиски</t>
  </si>
  <si>
    <t>ADK2404123-P</t>
  </si>
  <si>
    <t>978-5-9614-9785-4</t>
  </si>
  <si>
    <t>Мерхасина Светлана</t>
  </si>
  <si>
    <t>Абонент временно отдыхает</t>
  </si>
  <si>
    <t>ADH2110029-P</t>
  </si>
  <si>
    <t>978-5-9614-4335-6</t>
  </si>
  <si>
    <t>Варламова Дарья, Судаков Дмитрий, Виноградов Евгений, Рамзаева Мария, Кукин Федор, Михайлова Анна, Дьячкова Екатерина</t>
  </si>
  <si>
    <t>Атлас новых профессий 3.0</t>
  </si>
  <si>
    <t>LGR2306004-P</t>
  </si>
  <si>
    <t>978-5-907470-99-6</t>
  </si>
  <si>
    <t>Клепикова Елена, Земскова Ксения</t>
  </si>
  <si>
    <t>Баурсак и Карузо/Бауырсақ пен Карузо</t>
  </si>
  <si>
    <t>Пер. с рус-каз.</t>
  </si>
  <si>
    <t>ZGZ2406019-P</t>
  </si>
  <si>
    <t>978-601-81159-4-3</t>
  </si>
  <si>
    <t>де Моор Паул, Пандерс Венди</t>
  </si>
  <si>
    <t>Большая книга велосипедов</t>
  </si>
  <si>
    <t>ADK2308050-P</t>
  </si>
  <si>
    <t>978-5-9614-9168-5</t>
  </si>
  <si>
    <t>Гаррэ Сара, Гюисманс Марейке</t>
  </si>
  <si>
    <t>Большая книга воды: От капли росы до водопровода и разрушительных цунами</t>
  </si>
  <si>
    <t>ADH2202209-P</t>
  </si>
  <si>
    <t>978-5-9614-7827-3</t>
  </si>
  <si>
    <t>Багаутдинов Айрат , Шевчук Полина</t>
  </si>
  <si>
    <t>Большая книга мостов</t>
  </si>
  <si>
    <t>ADK2311009-P</t>
  </si>
  <si>
    <t>978-5-9614-9427-3</t>
  </si>
  <si>
    <t>Маркелова Анастасия</t>
  </si>
  <si>
    <t>Большая книга рынков : От древних базаров до современных городских маркетов</t>
  </si>
  <si>
    <t>ADH2105048-P</t>
  </si>
  <si>
    <t>978-5-9614-7315-5</t>
  </si>
  <si>
    <t>Сальников Сергей</t>
  </si>
  <si>
    <t>Большая книга самолётов. Фюзеляж, багаж и экипаж</t>
  </si>
  <si>
    <t>ADK2211203-P</t>
  </si>
  <si>
    <t>978-5-9614-8476-2</t>
  </si>
  <si>
    <t>Больше не дразнись! Продолжение приключений Эмо и Чики</t>
  </si>
  <si>
    <t>ADH2106149-P</t>
  </si>
  <si>
    <t>978-5-9614-7578-4</t>
  </si>
  <si>
    <t>Букварь для детей с особенностями развития</t>
  </si>
  <si>
    <t>ADK2404144-P</t>
  </si>
  <si>
    <t>978-5-9614-9120-3</t>
  </si>
  <si>
    <t>Степаненко Екатерина, Яскина Наталья</t>
  </si>
  <si>
    <t>Буквы, слова, книги : История письменности</t>
  </si>
  <si>
    <t>ADK2403231-P</t>
  </si>
  <si>
    <t>978-5-9614-9738-0</t>
  </si>
  <si>
    <t>Перес Себастьен, Паро Аннелор</t>
  </si>
  <si>
    <t>В саду Базилика. Как какают деревья?</t>
  </si>
  <si>
    <t>ADK2406090-P</t>
  </si>
  <si>
    <t>978-5-9614-9925-4</t>
  </si>
  <si>
    <t>В саду Базилика</t>
  </si>
  <si>
    <t>В саду Базилика. Как появляются новые растения?</t>
  </si>
  <si>
    <t>ADK2406091-P</t>
  </si>
  <si>
    <t>978-5-9614-9926-1</t>
  </si>
  <si>
    <t>В саду Базилика. Растения обладают суперспособностями</t>
  </si>
  <si>
    <t>ADK2406094-P</t>
  </si>
  <si>
    <t>978-5-9614-9929-2</t>
  </si>
  <si>
    <t>В саду Базилика. Сорняков не существует!</t>
  </si>
  <si>
    <t>ADK2406092-P</t>
  </si>
  <si>
    <t>978-5-9614-9927-8</t>
  </si>
  <si>
    <t>В саду Базилика. Умеют ли растения любить?</t>
  </si>
  <si>
    <t>ADK2406093-P</t>
  </si>
  <si>
    <t>978-5-9614-9928-5</t>
  </si>
  <si>
    <t>Окунев Игорь</t>
  </si>
  <si>
    <t>Великие географические открытия плюшевых игрушек</t>
  </si>
  <si>
    <t>ADH2107083-P</t>
  </si>
  <si>
    <t>978-5-9614-7839-6</t>
  </si>
  <si>
    <t>Файзутдинова Яна</t>
  </si>
  <si>
    <t>Волшебные башмачки. Сказки про мальчика Амира и его друзей</t>
  </si>
  <si>
    <t>ADK2304072-P</t>
  </si>
  <si>
    <t>978-5-9614-8915-6</t>
  </si>
  <si>
    <t>Ремиш Наталья</t>
  </si>
  <si>
    <t>Волшебные камни Бааса</t>
  </si>
  <si>
    <t>ADH2106143-P</t>
  </si>
  <si>
    <t>978-5-9614-7397-1</t>
  </si>
  <si>
    <t>Однажды в Симплвельде</t>
  </si>
  <si>
    <t>Русинова Евгения</t>
  </si>
  <si>
    <t>Волшебные коньки</t>
  </si>
  <si>
    <t>ADK2402114-P</t>
  </si>
  <si>
    <t>978-5-9614-9621-5</t>
  </si>
  <si>
    <t>Пигарева Надя</t>
  </si>
  <si>
    <t>ВОТ СОБАКА! секреты четвероногой Зинаиды</t>
  </si>
  <si>
    <t>ADH2109002-P</t>
  </si>
  <si>
    <t>978-5-9614-7302-5</t>
  </si>
  <si>
    <t>Еремина Ольга</t>
  </si>
  <si>
    <t>Где растет бочонок мёда Первая книга для самостоятельного чтения</t>
  </si>
  <si>
    <t>ADH2106074-P</t>
  </si>
  <si>
    <t>978-5-9614-7162-5</t>
  </si>
  <si>
    <t>Чернышова Евгения</t>
  </si>
  <si>
    <t>Геннадий Туманович и другие облака</t>
  </si>
  <si>
    <t>ADH2207111-P</t>
  </si>
  <si>
    <t>978-5-9614-8232-4</t>
  </si>
  <si>
    <t>Аромштам Марина</t>
  </si>
  <si>
    <t>День зимнего солнцестояния. Правописание сложных слов</t>
  </si>
  <si>
    <t>ADK2402146-P</t>
  </si>
  <si>
    <t>978-5-9614-9637-6</t>
  </si>
  <si>
    <t>Орфографические сказки</t>
  </si>
  <si>
    <t>Домашка — это просто! Учимся делать уроки быстро</t>
  </si>
  <si>
    <t>ADK2501125-P</t>
  </si>
  <si>
    <t>978-5-9614-9169-2</t>
  </si>
  <si>
    <t>24.03.2025</t>
  </si>
  <si>
    <t>Дружба после ссоры. Новые приключения Эмо и Чики</t>
  </si>
  <si>
    <t>ADH2106148-P</t>
  </si>
  <si>
    <t>978-5-9614-8569-1</t>
  </si>
  <si>
    <t>Вола Ноэми</t>
  </si>
  <si>
    <t>Если плакать как фонтан</t>
  </si>
  <si>
    <t>ADK2309202-P</t>
  </si>
  <si>
    <t>978-5-9614-9286-6</t>
  </si>
  <si>
    <t>Если ты превращаешься в мышь… или Потерянный ключ! Правописание Ь после шипящих в конце слова</t>
  </si>
  <si>
    <t>ADK2309203-P</t>
  </si>
  <si>
    <t>978-5-9614-9287-3</t>
  </si>
  <si>
    <t>Майборода Марина</t>
  </si>
  <si>
    <t>[Развивающие тетради] Зимние сказки Кроссворды, ребусы и лабиринты с любимыми героями</t>
  </si>
  <si>
    <t>ADK2307070-P</t>
  </si>
  <si>
    <t>978-5-9614-9097-8</t>
  </si>
  <si>
    <t>Снежные головоломки</t>
  </si>
  <si>
    <t>[Развивающие тетради] Зимний лес Веселые кроссворды, лабиринты и загадки о природе</t>
  </si>
  <si>
    <t>ADK2307073-P</t>
  </si>
  <si>
    <t>978-5-9614-9100-5</t>
  </si>
  <si>
    <t>Коноплястая Мария</t>
  </si>
  <si>
    <t>Зимняя сказка. Подарочный развивающий набор</t>
  </si>
  <si>
    <t>ADH2109164-P</t>
  </si>
  <si>
    <t>978-5-9614-7509-8</t>
  </si>
  <si>
    <t>Русята: приключения в сказочном лесу</t>
  </si>
  <si>
    <t>[Развивающие тетради] Зимушка-зима Кроссворды, головоломки и другие снежные загадки</t>
  </si>
  <si>
    <t>ADK2307071-P</t>
  </si>
  <si>
    <t>978-5-9614-9098-5</t>
  </si>
  <si>
    <t>Искусственный интеллект. 5 больших идей</t>
  </si>
  <si>
    <t>LGI2109022-P</t>
  </si>
  <si>
    <t>978-5-907534-16-2</t>
  </si>
  <si>
    <t>Как быть внимательным. Готовим внимательность с вечера</t>
  </si>
  <si>
    <t>ADH2106009-P</t>
  </si>
  <si>
    <t>978-5-9614-4269-4</t>
  </si>
  <si>
    <t>ADH2501126-P</t>
  </si>
  <si>
    <t>978-5-9614-9108-1</t>
  </si>
  <si>
    <t>Темпорелли Макс</t>
  </si>
  <si>
    <t>Как все менялось. Эволюция 10 изобретений, без которых невозможно представить наш мир</t>
  </si>
  <si>
    <t>ADK2501128-P</t>
  </si>
  <si>
    <t>978-5-9614-9102-9</t>
  </si>
  <si>
    <t>Как несчастный лошадёнок стал счастливым. Правописание непроизносимых согласных в корне слова</t>
  </si>
  <si>
    <t>ADK2304203-P</t>
  </si>
  <si>
    <t>978-5-9614-8951-4</t>
  </si>
  <si>
    <t>Салангин Александр, Смелова Наталья</t>
  </si>
  <si>
    <t>Как работает реклама</t>
  </si>
  <si>
    <t>ADK2303181-P</t>
  </si>
  <si>
    <t>978-5-9614-8760-2</t>
  </si>
  <si>
    <t>Приключения Антоши и Бука</t>
  </si>
  <si>
    <t>Как Тима укусила лошадь</t>
  </si>
  <si>
    <t>ADH2111299-P</t>
  </si>
  <si>
    <t>978-5-9614-7396-4</t>
  </si>
  <si>
    <t>Уилшоу Роб, Уильямс Софи</t>
  </si>
  <si>
    <t>Камни и кости : Окаменелости и истории, которые они рассказывают</t>
  </si>
  <si>
    <t>ADK2401054-P</t>
  </si>
  <si>
    <t>978-5-9614-9549-2</t>
  </si>
  <si>
    <t>Когда все пошло не по плану. 10 реальных историй изобретателей, которые не сдались!</t>
  </si>
  <si>
    <t>ADK2307089-P</t>
  </si>
  <si>
    <t>978-5-9614-9103-6</t>
  </si>
  <si>
    <t>Колкер Мария</t>
  </si>
  <si>
    <t>Леди Орангутан</t>
  </si>
  <si>
    <t>ADH2207105-P</t>
  </si>
  <si>
    <t>978-5-9614-8228-7</t>
  </si>
  <si>
    <t>Заботливые истории</t>
  </si>
  <si>
    <t>Бакал Лада, Потапов Константин</t>
  </si>
  <si>
    <t>Лили узнаёт фигуры</t>
  </si>
  <si>
    <t>ADH2107080-P</t>
  </si>
  <si>
    <t>978-5-9614-4265-6</t>
  </si>
  <si>
    <t>Маленькие дети - большие учёные</t>
  </si>
  <si>
    <t>Лили учится сравнивать</t>
  </si>
  <si>
    <t>ADH2107079-P</t>
  </si>
  <si>
    <t>978-5-9614-7533-3</t>
  </si>
  <si>
    <t>Лили учится считать</t>
  </si>
  <si>
    <t>ADH2107078-P</t>
  </si>
  <si>
    <t>978-5-9614-7462-6</t>
  </si>
  <si>
    <t>Максандер и другая девочка</t>
  </si>
  <si>
    <t>ADH2206048-P</t>
  </si>
  <si>
    <t>978-5-9614-7398-8</t>
  </si>
  <si>
    <t>Мир инженера Шухова. Как работает мозг изобретателя</t>
  </si>
  <si>
    <t>ADH2406140-P</t>
  </si>
  <si>
    <t>978-5-9614-9389-4</t>
  </si>
  <si>
    <t>Мир механика Кулибина : Человек, который умел всё на свете</t>
  </si>
  <si>
    <t>ADK2406018-P</t>
  </si>
  <si>
    <t>978-5-9614-9905-6</t>
  </si>
  <si>
    <t>Миры</t>
  </si>
  <si>
    <t>Шевчук Полина, Ульяненкова Марина</t>
  </si>
  <si>
    <t>Мир учёного Менделеева: Как рождаются научные открытия</t>
  </si>
  <si>
    <t>ADK2311010-P</t>
  </si>
  <si>
    <t>978-5-9614-9428-0</t>
  </si>
  <si>
    <t>Федулова Анна</t>
  </si>
  <si>
    <t>Мишки ведут расследование: Чёрный Нос и загадочные следы</t>
  </si>
  <si>
    <t>ADH2111126-P</t>
  </si>
  <si>
    <t>978-5-9614-4279-3</t>
  </si>
  <si>
    <t>Браун Эд Джей, Джейкобс Робин</t>
  </si>
  <si>
    <t>На вершине мира : удивительные горы Земли (и как их покорить)</t>
  </si>
  <si>
    <t>ADK2407151-P</t>
  </si>
  <si>
    <t>978-5-0063-0029-3</t>
  </si>
  <si>
    <t>Обними меня! Сказка о слонёнке и его маме</t>
  </si>
  <si>
    <t>ADH2104225-P</t>
  </si>
  <si>
    <t>978-5-9614-7332-2</t>
  </si>
  <si>
    <t>Обними меня! Сказка о том, как Обнимашка хотел спасти мир</t>
  </si>
  <si>
    <t>ADH2209090-P</t>
  </si>
  <si>
    <t>978-5-9614-8320-8</t>
  </si>
  <si>
    <t>Локхарт Даг</t>
  </si>
  <si>
    <t>Планируй как панда Пула. История про бамбуковый лес</t>
  </si>
  <si>
    <t>ADH2202004-P</t>
  </si>
  <si>
    <t>978-5-9614-8181-5</t>
  </si>
  <si>
    <t>Уроки финансовой грамотности для самых маленьких</t>
  </si>
  <si>
    <t>Скворцов Владимир</t>
  </si>
  <si>
    <t>Плюсы и минусы: Что такое электроэнергия, как она работает и зачем ее беречь</t>
  </si>
  <si>
    <t>PGH2109225-P</t>
  </si>
  <si>
    <t>978-5-907534-29-2</t>
  </si>
  <si>
    <t>Уильямс Софи, Джейкобс Робин</t>
  </si>
  <si>
    <t>Потрясающая стихия: землетрясения, торнадо, цунами и другие природные бедствия</t>
  </si>
  <si>
    <t>ADK2405160-P</t>
  </si>
  <si>
    <t>978-5-9614-9886-8</t>
  </si>
  <si>
    <t>Нелихов Антон , Логачева Элина</t>
  </si>
  <si>
    <t>Профессия 一 палеонтолог : От камня до динозавра</t>
  </si>
  <si>
    <t>ADK2405112-P</t>
  </si>
  <si>
    <t>978-5-9614-9861-5</t>
  </si>
  <si>
    <t>Крутая работа</t>
  </si>
  <si>
    <t>Дэвис Беа, Шедлих Сюзан, Штанг Михаэль</t>
  </si>
  <si>
    <t>Путешествие во времени. Эволюция человека</t>
  </si>
  <si>
    <t>ADK2402081-P</t>
  </si>
  <si>
    <t>978-5-9614-9617-8</t>
  </si>
  <si>
    <t>Гершевицкая София</t>
  </si>
  <si>
    <t>Пчёлка Хани и остров Малиновой Горы</t>
  </si>
  <si>
    <t>ADK2306052-P</t>
  </si>
  <si>
    <t>978-5-9614-9020-6</t>
  </si>
  <si>
    <t>Пчёлка Хани</t>
  </si>
  <si>
    <t>Работа над ошибками, или давайте ошибаться правильно!</t>
  </si>
  <si>
    <t>ADH2501127-P</t>
  </si>
  <si>
    <t>978-5-9614-9317-7</t>
  </si>
  <si>
    <t>Потапова Надежда, Стоянова Элина</t>
  </si>
  <si>
    <t>Расплетая ДНК : увлекательный путеводитель по генетике</t>
  </si>
  <si>
    <t>ADK2304172-P</t>
  </si>
  <si>
    <t>978-5-9614-8992-7</t>
  </si>
  <si>
    <t>Кеннеке Оле</t>
  </si>
  <si>
    <t>Роем, грузим, строим. Мир больших машин: истории, которые оживают!</t>
  </si>
  <si>
    <t>ADK2403066-P</t>
  </si>
  <si>
    <t>978-5-9614-9686-4</t>
  </si>
  <si>
    <t>Тюхтяев Леонид, Тюхтяева Маргарита</t>
  </si>
  <si>
    <t>Самый воздушный шар в мире: Сестра, брат, аэростат</t>
  </si>
  <si>
    <t>ADH2104156-P</t>
  </si>
  <si>
    <t>978-5-9614-7269-1</t>
  </si>
  <si>
    <t>Секреты собак. Как понять собаку и стать ей другом</t>
  </si>
  <si>
    <t>ADK2307069-P</t>
  </si>
  <si>
    <t>978-5-9614-9096-1</t>
  </si>
  <si>
    <t>Протасова Юлиана</t>
  </si>
  <si>
    <t>Сказочные приключения кота Альфреда</t>
  </si>
  <si>
    <t>ADK2405046-P</t>
  </si>
  <si>
    <t>978-5-9614-9830-1</t>
  </si>
  <si>
    <t>Слава Музыкалкин и пропавший Треугольник. Расследование, погоня и много музыки.</t>
  </si>
  <si>
    <t>ADA2101012-P</t>
  </si>
  <si>
    <t>978-5-9614-6155-8</t>
  </si>
  <si>
    <t>Дегтева Валентина</t>
  </si>
  <si>
    <t>Сочинение на 5 по литературе. 7 секретов, как писать быстро, легко и своими словами</t>
  </si>
  <si>
    <t>ADK2311017-P</t>
  </si>
  <si>
    <t>978-5-9614-9432-7</t>
  </si>
  <si>
    <t>Сочинение на 5! Как писать быстро, легко и на любую тему</t>
  </si>
  <si>
    <t>ADK2410134-P</t>
  </si>
  <si>
    <t>978-5-9614-8475-5</t>
  </si>
  <si>
    <t>Андрусов Андрей</t>
  </si>
  <si>
    <t>Твой первый бизнес или Как запустить свой предпринимательский проект еще в школе</t>
  </si>
  <si>
    <t>ADH2409304-P</t>
  </si>
  <si>
    <t>978-5-0063-0245-7</t>
  </si>
  <si>
    <t>Назаркасимова Мая</t>
  </si>
  <si>
    <t>Терра и тайна созвездий. Книга 1</t>
  </si>
  <si>
    <t>ADH2412037-P</t>
  </si>
  <si>
    <t>978-5-9614-9071-8</t>
  </si>
  <si>
    <t>Young Adult</t>
  </si>
  <si>
    <t>Авторов (Graou) Коллектив</t>
  </si>
  <si>
    <t>Тибо. Журнал, с которым можно играть. Друзья</t>
  </si>
  <si>
    <t>ADK2301066-P</t>
  </si>
  <si>
    <t>978-5-9614-8619-3</t>
  </si>
  <si>
    <t>Развивающие журналы Тибо</t>
  </si>
  <si>
    <t>Тибо. Журнал, с которым можно играть. На ферме</t>
  </si>
  <si>
    <t>ADK2301065-P</t>
  </si>
  <si>
    <t>978-5-9614-8618-6</t>
  </si>
  <si>
    <t>Тибо. Журнал, с которым можно играть. Противоположности</t>
  </si>
  <si>
    <t>ADK2301063-P</t>
  </si>
  <si>
    <t>978-5-9614-8616-2</t>
  </si>
  <si>
    <t>Тибо. Журнал, с которым можно играть. Пять чувств</t>
  </si>
  <si>
    <t>ADK2301062-P</t>
  </si>
  <si>
    <t>978-5-9614-8614-8</t>
  </si>
  <si>
    <t>Тибо. Журнал, с которым можно играть. Цифры</t>
  </si>
  <si>
    <t>ADK2301064-P</t>
  </si>
  <si>
    <t>978-5-9614-8617-9</t>
  </si>
  <si>
    <t>Трать с умом, как зайчик Фунди. История про огромные тыквы</t>
  </si>
  <si>
    <t>ADH2201118-P</t>
  </si>
  <si>
    <t>978-5-9614-8040-5</t>
  </si>
  <si>
    <t>Лейк Ирина</t>
  </si>
  <si>
    <t>Ты – мой талисман!</t>
  </si>
  <si>
    <t>ADK2403217-P</t>
  </si>
  <si>
    <t>978-5-9614-9725-0</t>
  </si>
  <si>
    <t>Умные открытия. Вода</t>
  </si>
  <si>
    <t>ADK2310185-P</t>
  </si>
  <si>
    <t>978-5-9614-9381-8</t>
  </si>
  <si>
    <t>Баруцци Аньезе, - Техношенца</t>
  </si>
  <si>
    <t>Умные открытия. Геология</t>
  </si>
  <si>
    <t>ADK2310184-P</t>
  </si>
  <si>
    <t>978-5-9614-9380-1</t>
  </si>
  <si>
    <t>Умные открытия</t>
  </si>
  <si>
    <t>Умные открытия. Насекомые</t>
  </si>
  <si>
    <t>ADK2310186-P</t>
  </si>
  <si>
    <t>978-5-9614-9382-5</t>
  </si>
  <si>
    <t>Плаксунова Дарья, Прохоцкая Юлия</t>
  </si>
  <si>
    <t>Чем пахнут книги</t>
  </si>
  <si>
    <t>ADH2306036-P</t>
  </si>
  <si>
    <t>978-5-9614-7303-2</t>
  </si>
  <si>
    <t>Михайлова Дарья</t>
  </si>
  <si>
    <t>Читательский дневник</t>
  </si>
  <si>
    <t>ADK2306032-P</t>
  </si>
  <si>
    <t>978-5-9614-9013-8</t>
  </si>
  <si>
    <t>Ванякина Ася</t>
  </si>
  <si>
    <t>Чудеса в кармашке, или Поиски Деда Мороза</t>
  </si>
  <si>
    <t>ADH2405143-P</t>
  </si>
  <si>
    <t>978-5-9614-8311-6</t>
  </si>
  <si>
    <t>Чудесное путешествие в Чудинию. Правописание ЖИ, ШИ, ЧА, ЩА, ЧУ, ЩУ</t>
  </si>
  <si>
    <t>ADK2301105-P</t>
  </si>
  <si>
    <t>978-5-9614-8633-9</t>
  </si>
  <si>
    <t>Астафьев Денис</t>
  </si>
  <si>
    <t>Шерики в мире финансов. Как Спо узнал про деньги</t>
  </si>
  <si>
    <t>ADH2108061-P Астафьев</t>
  </si>
  <si>
    <t>978-5-9614-7463-3</t>
  </si>
  <si>
    <t>Финансовая сказка</t>
  </si>
  <si>
    <t>Шерики и деньги разных стран</t>
  </si>
  <si>
    <t>ADH2108063-P Астафьев</t>
  </si>
  <si>
    <t>978-5-9614-7464-0</t>
  </si>
  <si>
    <t>Шерики и уроки финансовой грамотности</t>
  </si>
  <si>
    <t>ADH2108071-P Астафьев</t>
  </si>
  <si>
    <t>978-5-9614-7465-7</t>
  </si>
  <si>
    <t>Кардакова Мария</t>
  </si>
  <si>
    <t>Я знаю, что я ем! Молоко</t>
  </si>
  <si>
    <t>ADK2404089-P</t>
  </si>
  <si>
    <t>978-5-9614-9774-8</t>
  </si>
  <si>
    <t>Я знаю, что я ЕМ</t>
  </si>
  <si>
    <t>Я знаю, что я ем! Хлеб</t>
  </si>
  <si>
    <t>ADK2404091-P</t>
  </si>
  <si>
    <t>978-5-9614-9775-5</t>
  </si>
  <si>
    <t>Я знаю, что я ем. Крупы</t>
  </si>
  <si>
    <t>ADK2305089-P</t>
  </si>
  <si>
    <t>978-5-9614-8978-1</t>
  </si>
  <si>
    <t>Я знаю, что я ем. Овощи</t>
  </si>
  <si>
    <t>ADK2305087-P</t>
  </si>
  <si>
    <t>978-5-9614-8976-7</t>
  </si>
  <si>
    <t>Я знаю, что я ем. Фрукты</t>
  </si>
  <si>
    <t>ADK2305088-P</t>
  </si>
  <si>
    <t>978-5-9614-8977-4</t>
  </si>
  <si>
    <t>Карлова Светлана</t>
  </si>
  <si>
    <t>Я иду искать в Москве</t>
  </si>
  <si>
    <t>ADH2407097-P</t>
  </si>
  <si>
    <t>978-5-9614-8986-6</t>
  </si>
  <si>
    <t>Виммельбух для всей семьи</t>
  </si>
  <si>
    <t>Я иду искать в Санкт-Петербурге</t>
  </si>
  <si>
    <t>ADH2411022-P</t>
  </si>
  <si>
    <t>978-5-9614-7867-9</t>
  </si>
  <si>
    <t>7.04. Серия "Занимательная зоология"</t>
  </si>
  <si>
    <t>Садальский Станислав</t>
  </si>
  <si>
    <t>Я английский бульдог</t>
  </si>
  <si>
    <t>ADH2204020-P</t>
  </si>
  <si>
    <t>978-5-9614-7905-8</t>
  </si>
  <si>
    <t>Занимательная зоология</t>
  </si>
  <si>
    <t>Инин Аркадий</t>
  </si>
  <si>
    <t>Я Бегемот с раскрасками</t>
  </si>
  <si>
    <t>ADH2112073-P</t>
  </si>
  <si>
    <t>978-5-9614-7779-5</t>
  </si>
  <si>
    <t>Коренева Елена</t>
  </si>
  <si>
    <t>Я Белка с раскрасками</t>
  </si>
  <si>
    <t>ADH2201178-P</t>
  </si>
  <si>
    <t>978-5-9614-5337-9</t>
  </si>
  <si>
    <t>Коростышевская Оксана</t>
  </si>
  <si>
    <t>Я Выхухоль с раскрасками</t>
  </si>
  <si>
    <t>ADH2201177-P</t>
  </si>
  <si>
    <t>978-5-9614-7507-4</t>
  </si>
  <si>
    <t>Мирзоев Владимир</t>
  </si>
  <si>
    <t>Я дельфин с раскрасками</t>
  </si>
  <si>
    <t>ADH2205136-P</t>
  </si>
  <si>
    <t>978-5-9614-8102-0</t>
  </si>
  <si>
    <t>Кучерская Майя</t>
  </si>
  <si>
    <t>[переплет] Я Ёж с раскрасками</t>
  </si>
  <si>
    <t>ADH2110163-P</t>
  </si>
  <si>
    <t>978-5-9614-7565-4</t>
  </si>
  <si>
    <t>Тимофеевский Александр</t>
  </si>
  <si>
    <t>[переплет] Я енот</t>
  </si>
  <si>
    <t>ADH2208050-P</t>
  </si>
  <si>
    <t>978-5-9614-7119-9</t>
  </si>
  <si>
    <t>Кузнецов Борис</t>
  </si>
  <si>
    <t>Я козел</t>
  </si>
  <si>
    <t>ADH2204017-P</t>
  </si>
  <si>
    <t>978-5-9614-7903-4</t>
  </si>
  <si>
    <t>Юрский Сергей</t>
  </si>
  <si>
    <t>Я кот с раскрасками</t>
  </si>
  <si>
    <t>ADH2203016-P</t>
  </si>
  <si>
    <t>978-5-9614-7842-6</t>
  </si>
  <si>
    <t>Я кот. Издание с раскрасками</t>
  </si>
  <si>
    <t>ADH2208052-P</t>
  </si>
  <si>
    <t>978-5-9614-8259-1</t>
  </si>
  <si>
    <t>Смехов Вениамин</t>
  </si>
  <si>
    <t>Я крокодил</t>
  </si>
  <si>
    <t>ADH1909157-P</t>
  </si>
  <si>
    <t>978-5-9614-2999-2</t>
  </si>
  <si>
    <t>Я Крокодил с раскрасками</t>
  </si>
  <si>
    <t>ADH2202028-P</t>
  </si>
  <si>
    <t>978-5-9614-7780-1</t>
  </si>
  <si>
    <t>Комолов Антон</t>
  </si>
  <si>
    <t>Я Ленивец с раскрасками</t>
  </si>
  <si>
    <t>ADH2202027-P</t>
  </si>
  <si>
    <t>978-5-9614-7781-8</t>
  </si>
  <si>
    <t>Абрамова Марина</t>
  </si>
  <si>
    <t>Я летучая мышь с раскрасками</t>
  </si>
  <si>
    <t>ADH2205149-P</t>
  </si>
  <si>
    <t>978-5-9614-8104-4</t>
  </si>
  <si>
    <t>Лукьяненко Сергей</t>
  </si>
  <si>
    <t>Я мышь</t>
  </si>
  <si>
    <t>ADH1912225-P</t>
  </si>
  <si>
    <t>978-5-9614-6064-3</t>
  </si>
  <si>
    <t>Крылов Дмитрий</t>
  </si>
  <si>
    <t>Я Пингвин с раскрасками</t>
  </si>
  <si>
    <t>ADH2110139-P</t>
  </si>
  <si>
    <t>978-5-9614-7558-6</t>
  </si>
  <si>
    <t>Устинова Татьяна</t>
  </si>
  <si>
    <t>Я Скунс с раскрасками</t>
  </si>
  <si>
    <t>ADH2202026-P</t>
  </si>
  <si>
    <t>978-5-9614-7770-2</t>
  </si>
  <si>
    <t>Лагутенко Илья</t>
  </si>
  <si>
    <t>Я Тигр</t>
  </si>
  <si>
    <t>ADH2109005-P</t>
  </si>
  <si>
    <t>978-5-9614-7485-5</t>
  </si>
  <si>
    <t>7.05. Серия "Лучший друг — Конни"</t>
  </si>
  <si>
    <t>Большая книга приключений Конни: Детский сад</t>
  </si>
  <si>
    <t>ADH2412223-P</t>
  </si>
  <si>
    <t>978-5-9614-9240-8</t>
  </si>
  <si>
    <t>Большая книга приключений Конни: Самостоятельность</t>
  </si>
  <si>
    <t>ADH2410050-P</t>
  </si>
  <si>
    <t>978-5-9614-8901-9</t>
  </si>
  <si>
    <t>Большая книга приключений Конни. Безопасность</t>
  </si>
  <si>
    <t>ADK2411052-P</t>
  </si>
  <si>
    <t>978-5-9614-8768-8</t>
  </si>
  <si>
    <t>Большая книга приключений Конни. Животные</t>
  </si>
  <si>
    <t>ADH2412202-P</t>
  </si>
  <si>
    <t>978-5-9614-8904-0</t>
  </si>
  <si>
    <t>Большая книга приключений Конни. Полезные привычки</t>
  </si>
  <si>
    <t>ADH2411046-P</t>
  </si>
  <si>
    <t>978-5-9614-8902-6</t>
  </si>
  <si>
    <t>Большая книга приключений Конни. Путешествия</t>
  </si>
  <si>
    <t>ADH2410052-P</t>
  </si>
  <si>
    <t>978-5-9614-9241-5</t>
  </si>
  <si>
    <t>Большая книга приключений Конни. Семья</t>
  </si>
  <si>
    <t>ADH2409277-P</t>
  </si>
  <si>
    <t>978-5-0063-0201-3</t>
  </si>
  <si>
    <t>Большая книга приключений Конни. Спорт</t>
  </si>
  <si>
    <t>ADH2410051-P</t>
  </si>
  <si>
    <t>978-5-9614-9239-2</t>
  </si>
  <si>
    <t>Большая книга приключений Конни. Хобби</t>
  </si>
  <si>
    <t>ADK2409281-P</t>
  </si>
  <si>
    <t>978-5-9614-8767-1</t>
  </si>
  <si>
    <t>Большая книга приключений Конни. Эмоции</t>
  </si>
  <si>
    <t>ADK2406066-P</t>
  </si>
  <si>
    <t>978-5-9614-8749-7</t>
  </si>
  <si>
    <t>Букварь</t>
  </si>
  <si>
    <t>ADH2404145-P</t>
  </si>
  <si>
    <t>978-5-9614-8241-6</t>
  </si>
  <si>
    <t>Гатчина Ольга</t>
  </si>
  <si>
    <t>Букварь. Навыки чтения с нуля до первых слов: Учим буквы с Конни</t>
  </si>
  <si>
    <t>ADK2301179-P</t>
  </si>
  <si>
    <t>978-5-9614-9129-6</t>
  </si>
  <si>
    <t>Хофманн Юлия</t>
  </si>
  <si>
    <t>Виммельбух. Конни и Якоб играют в прятки</t>
  </si>
  <si>
    <t>ADK2409278-P</t>
  </si>
  <si>
    <t>978-5-9614-8468-7</t>
  </si>
  <si>
    <t>Гримм Сандра</t>
  </si>
  <si>
    <t>Виммельбух. Якоб ищет Конни</t>
  </si>
  <si>
    <t>ADK2211164-P</t>
  </si>
  <si>
    <t>978-5-9614-8469-4</t>
  </si>
  <si>
    <t>[картонная книга с окошками] Времена года с Конни (книга с окошками)</t>
  </si>
  <si>
    <t>ADK2501117-P</t>
  </si>
  <si>
    <t>978-5-9614-3696-9</t>
  </si>
  <si>
    <t>Головоломки с Конни: Тренируем логику и устный счёт</t>
  </si>
  <si>
    <t>ADH2203148-P</t>
  </si>
  <si>
    <t>978-5-9614-7868-6</t>
  </si>
  <si>
    <t>Готовим с Конни. Простые рецепты для детей и родителей</t>
  </si>
  <si>
    <t>ADH2211086-P</t>
  </si>
  <si>
    <t>978-5-9614-8451-9</t>
  </si>
  <si>
    <t>Готовим с Конни. Рецепты на любой праздник</t>
  </si>
  <si>
    <t>ADK2402006-P</t>
  </si>
  <si>
    <t>978-5-9614-9597-3</t>
  </si>
  <si>
    <t>[Развивающие тетради, Лучший друг — Конни] Деньги. Тренируем счёт. Знакомимся с деньгами и учимся их считать. Развивающие тетради вместе с Конни!</t>
  </si>
  <si>
    <t>ADK2306009-P</t>
  </si>
  <si>
    <t>978-5-9614-9005-3</t>
  </si>
  <si>
    <t>Бёме Юлия</t>
  </si>
  <si>
    <t>[Детские детективы, Лучший друг — Конни] Домик на дереве</t>
  </si>
  <si>
    <t>ADH2211071-P</t>
  </si>
  <si>
    <t>978-5-9614-8437-3</t>
  </si>
  <si>
    <t>[Детские детективы, Лучший друг — Конни] Зимние приключения на конюшне</t>
  </si>
  <si>
    <t>ADH2211075-P</t>
  </si>
  <si>
    <t>978-5-9614-8440-3</t>
  </si>
  <si>
    <t>Календарь полезных привычек с Конни с наклейками</t>
  </si>
  <si>
    <t>ADH2105243-P</t>
  </si>
  <si>
    <t>978-5-9614-7351-3</t>
  </si>
  <si>
    <t>Комиксы с Конни. Дневник гусеницы</t>
  </si>
  <si>
    <t>ADK2211252-P</t>
  </si>
  <si>
    <t>978-5-9614-8496-0</t>
  </si>
  <si>
    <t>Комиксы с Конни. Звёзды дружбы</t>
  </si>
  <si>
    <t>ADK2212108-P</t>
  </si>
  <si>
    <t>978-5-9614-8566-0</t>
  </si>
  <si>
    <t>Комиксы с Конни. Новичок на конюшне</t>
  </si>
  <si>
    <t>ADK2211253-P</t>
  </si>
  <si>
    <t>978-5-9614-8497-7</t>
  </si>
  <si>
    <t>Комиксы с Конни. Послание в бутылке</t>
  </si>
  <si>
    <t>ADK2212106-P</t>
  </si>
  <si>
    <t>978-5-9614-8564-6</t>
  </si>
  <si>
    <t>Комиксы с Конни. Приключения на ферме</t>
  </si>
  <si>
    <t>ADK2212107-P</t>
  </si>
  <si>
    <t>978-5-9614-8565-3</t>
  </si>
  <si>
    <t>Конни в гостях у бабушки с дедушкой</t>
  </si>
  <si>
    <t>ADH2403175-P</t>
  </si>
  <si>
    <t>978-5-9614-9714-4</t>
  </si>
  <si>
    <t>[картонная книга с окошками] Конни в детском саду</t>
  </si>
  <si>
    <t>ADH2411021-P</t>
  </si>
  <si>
    <t>978-5-9614-5426-0</t>
  </si>
  <si>
    <t>Конни в летнем лагере</t>
  </si>
  <si>
    <t>ADH2405024-P</t>
  </si>
  <si>
    <t>978-5-9614-9824-0</t>
  </si>
  <si>
    <t>Конни в школе</t>
  </si>
  <si>
    <t>ADH2012346-P</t>
  </si>
  <si>
    <t>978-5-9614-5440-6</t>
  </si>
  <si>
    <t>Конни готовит пиццу</t>
  </si>
  <si>
    <t>ADH2311262-P</t>
  </si>
  <si>
    <t>978-5-9614-9484-6</t>
  </si>
  <si>
    <t>Конни делает печенье</t>
  </si>
  <si>
    <t>ADH2105085-P</t>
  </si>
  <si>
    <t>978-5-9614-7322-3</t>
  </si>
  <si>
    <t>ADH2412123-P</t>
  </si>
  <si>
    <t>978-5-0063-0083-5</t>
  </si>
  <si>
    <t>Конни едет на пикник</t>
  </si>
  <si>
    <t>ADH2104189-P</t>
  </si>
  <si>
    <t>978-5-9614-7274-5</t>
  </si>
  <si>
    <t>Конни едет на экскурсию</t>
  </si>
  <si>
    <t>ADH2203152-P</t>
  </si>
  <si>
    <t>978-5-9614-7869-3</t>
  </si>
  <si>
    <t>Конни едет отдыхать</t>
  </si>
  <si>
    <t>ADH2304121-P</t>
  </si>
  <si>
    <t>978-5-9614-8930-9</t>
  </si>
  <si>
    <t>Конни заболела</t>
  </si>
  <si>
    <t>ADH2311138-P</t>
  </si>
  <si>
    <t>978-5-9614-9454-9</t>
  </si>
  <si>
    <t>Конни заботится о братике</t>
  </si>
  <si>
    <t>ADK2411157-P</t>
  </si>
  <si>
    <t>978-5-9614-9808-0</t>
  </si>
  <si>
    <t>Конни занимается музыкой</t>
  </si>
  <si>
    <t>ADH2111325-P</t>
  </si>
  <si>
    <t>978-5-9614-5282-2</t>
  </si>
  <si>
    <t>Конни занимается спортом</t>
  </si>
  <si>
    <t>ADH2111329-P</t>
  </si>
  <si>
    <t>978-5-9614-7669-9</t>
  </si>
  <si>
    <t>Конни злится</t>
  </si>
  <si>
    <t>ADK2308130-P</t>
  </si>
  <si>
    <t>978-5-9614-9183-8</t>
  </si>
  <si>
    <t>Сёренсен Ханна</t>
  </si>
  <si>
    <t>Конни и бумажные куклы для вырезания с раскраской</t>
  </si>
  <si>
    <t>ADH2206133-P</t>
  </si>
  <si>
    <t>978-5-9614-8172-3</t>
  </si>
  <si>
    <t>Конни и вши в детском саду</t>
  </si>
  <si>
    <t>ADH2111330-P</t>
  </si>
  <si>
    <t>978-5-9614-7670-5</t>
  </si>
  <si>
    <t>Конни и друзья. Новая школа</t>
  </si>
  <si>
    <t>ADH2311220-P</t>
  </si>
  <si>
    <t>978-5-9614-8448-9</t>
  </si>
  <si>
    <t>Хосфельд Дагмар</t>
  </si>
  <si>
    <t>Конни и друзья. Новичок в классе</t>
  </si>
  <si>
    <t>ADH2211084-P</t>
  </si>
  <si>
    <t>978-5-9614-8449-6</t>
  </si>
  <si>
    <t>Конни и друзья. Школьная вечеринка</t>
  </si>
  <si>
    <t>ADK2309025-P</t>
  </si>
  <si>
    <t>978-5-9614-9228-6</t>
  </si>
  <si>
    <t>Конни и друзья. Школьница по обмену</t>
  </si>
  <si>
    <t>ADH2211085-P</t>
  </si>
  <si>
    <t>978-5-9614-8450-2</t>
  </si>
  <si>
    <t>Конни и зубная фея</t>
  </si>
  <si>
    <t>ADH2501130-P</t>
  </si>
  <si>
    <t>978-5-0063-0465-9</t>
  </si>
  <si>
    <t>Конни и карманные деньги</t>
  </si>
  <si>
    <t>ADH2302013-P</t>
  </si>
  <si>
    <t>978-5-9614-2940-4</t>
  </si>
  <si>
    <t>ADH2304114-P</t>
  </si>
  <si>
    <t>978-5-9614-8925-5</t>
  </si>
  <si>
    <t>Конни и кемпинг у моря</t>
  </si>
  <si>
    <t>ADH2012344-P</t>
  </si>
  <si>
    <t>978-5-9614-5424-6</t>
  </si>
  <si>
    <t>Конни и лето</t>
  </si>
  <si>
    <t>ADK2305049-P</t>
  </si>
  <si>
    <t>978-5-9614-8962-0</t>
  </si>
  <si>
    <t>Конни и неприятности</t>
  </si>
  <si>
    <t>ADH2403174-P</t>
  </si>
  <si>
    <t>978-5-9614-9713-7</t>
  </si>
  <si>
    <t>Конни и ночь в музее</t>
  </si>
  <si>
    <t>ADH2408026-P</t>
  </si>
  <si>
    <t>978-5-0063-0066-8</t>
  </si>
  <si>
    <t>Конни и поездка на море</t>
  </si>
  <si>
    <t>ADH2211069-P</t>
  </si>
  <si>
    <t>978-5-9614-8435-9</t>
  </si>
  <si>
    <t>[Лучший друг — Конни] Конни и полезные привычки. Набор из 6 книг</t>
  </si>
  <si>
    <t>ADK2310056-P</t>
  </si>
  <si>
    <t>978-5-9614-9325-2</t>
  </si>
  <si>
    <t>Конни и правила дорожного движения</t>
  </si>
  <si>
    <t>ADH2105116-P</t>
  </si>
  <si>
    <t>978-5-9614-7372-8</t>
  </si>
  <si>
    <t>Конни и скелет динозавра: Дело о пропавшей кости</t>
  </si>
  <si>
    <t>ADH2209111-P</t>
  </si>
  <si>
    <t>978-5-9614-3003-5</t>
  </si>
  <si>
    <t>Бёме Юлия, Альбрехт Хердис</t>
  </si>
  <si>
    <t>Конни и спасение диких лошадей</t>
  </si>
  <si>
    <t>ADH2211070-P</t>
  </si>
  <si>
    <t>978-5-9614-8436-6</t>
  </si>
  <si>
    <t>Конни и тело</t>
  </si>
  <si>
    <t>ADH2309021-P</t>
  </si>
  <si>
    <t>978-5-9614-9226-2</t>
  </si>
  <si>
    <t>Конни и хорошие манеры</t>
  </si>
  <si>
    <t>ADH2410054-P</t>
  </si>
  <si>
    <t>978-5-9614-9124-1</t>
  </si>
  <si>
    <t>[Лучший друг — Конни] Конни и эмоции. Набор из 6 книг</t>
  </si>
  <si>
    <t>ADK2411040-P</t>
  </si>
  <si>
    <t>978-5-9614-9350-4</t>
  </si>
  <si>
    <t>Конни идёт в бассейн</t>
  </si>
  <si>
    <t>ADH2312035-P</t>
  </si>
  <si>
    <t>978-5-9614-9499-0</t>
  </si>
  <si>
    <t>Конни идёт в зоопарк</t>
  </si>
  <si>
    <t>ADH2403173-P</t>
  </si>
  <si>
    <t>978-5-9614-9712-0</t>
  </si>
  <si>
    <t>Конни идёт в парикмахерскую</t>
  </si>
  <si>
    <t>ADH2212156-P</t>
  </si>
  <si>
    <t>978-5-9614-8738-1</t>
  </si>
  <si>
    <t>Конни идёт в школу</t>
  </si>
  <si>
    <t>ADH2409274-P</t>
  </si>
  <si>
    <t>978-5-9614-9033-6</t>
  </si>
  <si>
    <t>Конни идёт за покупками</t>
  </si>
  <si>
    <t>ADH2501131-P</t>
  </si>
  <si>
    <t>978-5-0063-0464-2</t>
  </si>
  <si>
    <t>Конни идёт к врачу</t>
  </si>
  <si>
    <t>ADH2311263-P</t>
  </si>
  <si>
    <t>978-5-9614-9485-3</t>
  </si>
  <si>
    <t>Конни изучает тело</t>
  </si>
  <si>
    <t>ADH2209118-P</t>
  </si>
  <si>
    <t>978-5-9614-3700-3</t>
  </si>
  <si>
    <t>Конни катается на велосипеде</t>
  </si>
  <si>
    <t>ADH2303013-P</t>
  </si>
  <si>
    <t>978-5-9614-8730-5</t>
  </si>
  <si>
    <t>Конни катается на лыжах</t>
  </si>
  <si>
    <t>ADH2410053-P</t>
  </si>
  <si>
    <t>978-5-0063-0217-4</t>
  </si>
  <si>
    <t>Конни летит на самолёте</t>
  </si>
  <si>
    <t>ADH2409276-P</t>
  </si>
  <si>
    <t>978-5-9614-9068-8</t>
  </si>
  <si>
    <t>Конни на больничном</t>
  </si>
  <si>
    <t>ADH2303192-P</t>
  </si>
  <si>
    <t>978-5-9614-8771-8</t>
  </si>
  <si>
    <t>Конни на карантине</t>
  </si>
  <si>
    <t>ADH2008026-P</t>
  </si>
  <si>
    <t>978-5-9614-3756-0</t>
  </si>
  <si>
    <t>Конни на ферме</t>
  </si>
  <si>
    <t>ADA2209108-P</t>
  </si>
  <si>
    <t>978-5-9614-6966-0</t>
  </si>
  <si>
    <t>Конни наряжается</t>
  </si>
  <si>
    <t>ADH2412124-P</t>
  </si>
  <si>
    <t>978-5-0063-0089-7</t>
  </si>
  <si>
    <t>Конни ночует у подруги</t>
  </si>
  <si>
    <t>ADH2112191-P</t>
  </si>
  <si>
    <t>978-5-9614-3166-7</t>
  </si>
  <si>
    <t>Конни переезжает</t>
  </si>
  <si>
    <t>ADH2105090-P</t>
  </si>
  <si>
    <t>978-5-9614-7326-1</t>
  </si>
  <si>
    <t>Конни печёт блинчики</t>
  </si>
  <si>
    <t>ADH2304120-P</t>
  </si>
  <si>
    <t>978-5-9614-8929-3</t>
  </si>
  <si>
    <t>Конни побеждает страх</t>
  </si>
  <si>
    <t>ADK2412205-P</t>
  </si>
  <si>
    <t>978-5-9614-9809-7</t>
  </si>
  <si>
    <t>Конни помогает папе</t>
  </si>
  <si>
    <t>ADH2311261-P</t>
  </si>
  <si>
    <t>978-5-9614-9483-9</t>
  </si>
  <si>
    <t>Конни попадает в больницу</t>
  </si>
  <si>
    <t>ADH2111132-P</t>
  </si>
  <si>
    <t>978-5-9614-7616-3</t>
  </si>
  <si>
    <t>Конни пора на горшок</t>
  </si>
  <si>
    <t>ADH2410133-P</t>
  </si>
  <si>
    <t>978-5-9614-9318-4</t>
  </si>
  <si>
    <t>Конни потерялась в магазине</t>
  </si>
  <si>
    <t>ADH2410132-P</t>
  </si>
  <si>
    <t>978-5-0063-0236-5</t>
  </si>
  <si>
    <t>Конни празднует день рождения</t>
  </si>
  <si>
    <t>ADH2311181-P</t>
  </si>
  <si>
    <t>978-5-9614-9467-9</t>
  </si>
  <si>
    <t>Конни снимается в кино</t>
  </si>
  <si>
    <t>ADH1912235-P</t>
  </si>
  <si>
    <t>978-5-9614-3280-0</t>
  </si>
  <si>
    <t>Конни спасает пасхального зайца</t>
  </si>
  <si>
    <t>ADH2409063-P</t>
  </si>
  <si>
    <t>978-5-0063-0146-7</t>
  </si>
  <si>
    <t>Конни ссорится с подругой</t>
  </si>
  <si>
    <t>ADH2412199-P</t>
  </si>
  <si>
    <t>978-5-9614-9069-5</t>
  </si>
  <si>
    <t>Бахман Лена</t>
  </si>
  <si>
    <t>Конни у врача</t>
  </si>
  <si>
    <t>ADH2410135-P</t>
  </si>
  <si>
    <t>978-5-9614-3874-1</t>
  </si>
  <si>
    <t>Конни у зубного врача</t>
  </si>
  <si>
    <t>ADH2501265-P</t>
  </si>
  <si>
    <t>978-5-9614-9482-2</t>
  </si>
  <si>
    <t>Конни учится определять время</t>
  </si>
  <si>
    <t>ADH2501132-P</t>
  </si>
  <si>
    <t>978-5-9614-9114-2</t>
  </si>
  <si>
    <t>Конни читает</t>
  </si>
  <si>
    <t>ADH2410131-P</t>
  </si>
  <si>
    <t>978-5-0063-0235-8</t>
  </si>
  <si>
    <t>[Развивающие тетради, Лучший друг — Конни] Лабиринты: Развиваем мелкую моторику и готовим руку к письму вместе с Конни!</t>
  </si>
  <si>
    <t>ADH2302178-P</t>
  </si>
  <si>
    <t>978-5-9614-8711-4</t>
  </si>
  <si>
    <t>Сёренсен Ханна, Вельте Ульрих</t>
  </si>
  <si>
    <t>[Развивающие тетради, Лучший друг — Конни] Логика. Времена года: Развиваем сообразительность вместе с Конни!</t>
  </si>
  <si>
    <t>ADK2302170-P</t>
  </si>
  <si>
    <t>978-5-9614-8706-0</t>
  </si>
  <si>
    <t>[Развивающие тетради, Лучший друг — Конни] Логика. Математические раскраски: Готовимся к школе и развиваем навыки счёта вместе с Конни!</t>
  </si>
  <si>
    <t>ADH2302180-P</t>
  </si>
  <si>
    <t>978-5-9614-8713-8</t>
  </si>
  <si>
    <t>[Развивающие тетради, Лучший друг — Конни] Логика. Судоку: Готовимся к школе и решаем головоломки вместе с Конни!</t>
  </si>
  <si>
    <t>ADH2302179-P</t>
  </si>
  <si>
    <t>978-5-9614-8712-1</t>
  </si>
  <si>
    <t>Мой первый словарь с картинками: Учим немецкий и английский с Конни (КАРТОН)</t>
  </si>
  <si>
    <t>ADH2104188-P</t>
  </si>
  <si>
    <t>978-5-9614-7273-8</t>
  </si>
  <si>
    <t>Пазлы с Конни: Детский сад</t>
  </si>
  <si>
    <t>ADH2203153-P</t>
  </si>
  <si>
    <t>978-5-9614-7816-7</t>
  </si>
  <si>
    <t>[Лучший друг — Конни] Пазлы с Конни. Во дворе. Конни празднует день рождения</t>
  </si>
  <si>
    <t>ADK2301100-P</t>
  </si>
  <si>
    <t>978-5-9614-8630-8</t>
  </si>
  <si>
    <t>[Лучший друг — Конни] Пазлы с Конни. Готовим пиццу. Конни готовит пиццу</t>
  </si>
  <si>
    <t>ADK2301098-P</t>
  </si>
  <si>
    <t>978-5-9614-8628-5</t>
  </si>
  <si>
    <t>[Лучший друг — Конни] Пазлы с Конни. День рождения. Конни празднует день рождения</t>
  </si>
  <si>
    <t>ADK2301099-P</t>
  </si>
  <si>
    <t>978-5-9614-8629-2</t>
  </si>
  <si>
    <t>[Лучший друг — Конни] Пазлы с Конни. Ферма. Конни на ферме</t>
  </si>
  <si>
    <t>ADK2301097-P</t>
  </si>
  <si>
    <t>978-5-9614-8627-8</t>
  </si>
  <si>
    <t>[Развивающие тетради, Лучший друг — Конни] Полезные привычки. Играем и учимся создавать здоровые привычки. Развивающие тетради вместе с Конни!</t>
  </si>
  <si>
    <t>ADK2403158-P</t>
  </si>
  <si>
    <t>978-5-9614-9706-9</t>
  </si>
  <si>
    <t>[Детские детективы, Лучший друг — Конни] Приключения в большом городе</t>
  </si>
  <si>
    <t>ADH2310047-P</t>
  </si>
  <si>
    <t>978-5-9614-9319-1</t>
  </si>
  <si>
    <t>Приключения Конни в ночном лесу</t>
  </si>
  <si>
    <t>ADK2403149-P</t>
  </si>
  <si>
    <t>978-5-9614-9779-3</t>
  </si>
  <si>
    <t>[Детские детективы, Лучший друг — Конни] Приключения Конни на зимних каникулах</t>
  </si>
  <si>
    <t>ADH2406074-P</t>
  </si>
  <si>
    <t>978-5-9614-9923-0</t>
  </si>
  <si>
    <t>Приключения Конни на каникулах у бабушки</t>
  </si>
  <si>
    <t>ADH2106122-P</t>
  </si>
  <si>
    <t>978-5-9614-7499-2</t>
  </si>
  <si>
    <t>[Детские детективы, Лучший друг — Конни] Пропавший кролик</t>
  </si>
  <si>
    <t>ADH2211074-P</t>
  </si>
  <si>
    <t>978-5-9614-8439-7</t>
  </si>
  <si>
    <t>Расту вместе с Конни: Детский сад с Конни</t>
  </si>
  <si>
    <t>ADH2106117-P</t>
  </si>
  <si>
    <t>978-5-9614-7434-3</t>
  </si>
  <si>
    <t>[Развивающие тетради, Лучший друг — Конни] Рисуем по точкам: Развиваем моторику и готовим руку к письму. Развивающие тетради вместе с Конни!</t>
  </si>
  <si>
    <t>ADK2308013-P</t>
  </si>
  <si>
    <t>978-5-9614-9154-8</t>
  </si>
  <si>
    <t>[Детские детективы, Лучший друг — Конни] Секретная миссия</t>
  </si>
  <si>
    <t>ADH2211072-P</t>
  </si>
  <si>
    <t>978-5-9614-8438-0</t>
  </si>
  <si>
    <t>У Конни появляется братик</t>
  </si>
  <si>
    <t>ADH2411043-P</t>
  </si>
  <si>
    <t>978-5-9614-9477-8</t>
  </si>
  <si>
    <t>Ура! Школа! Готовимся читать, писать и считать с Конни</t>
  </si>
  <si>
    <t>ADH2207056-P</t>
  </si>
  <si>
    <t>978-5-9614-8208-9</t>
  </si>
  <si>
    <t>[Развивающие тетради, Лучший друг — Конни] Учим английский: Расширяем словарный запас и учимся говорить по-английски. Развивающие тетради вместе с Конни!</t>
  </si>
  <si>
    <t>ADH2312146-P</t>
  </si>
  <si>
    <t>978-5-9614-9512-6</t>
  </si>
  <si>
    <t>Учим время с Конни</t>
  </si>
  <si>
    <t>ADH2209129-P</t>
  </si>
  <si>
    <t>978-5-9614-4135-2</t>
  </si>
  <si>
    <t>[Развивающие тетради, Лучший друг — Конни] Учим время. Минуты и секунды. Планируем свой день. Развивающие тетради вместе с Конни!</t>
  </si>
  <si>
    <t>ADK2409273-P</t>
  </si>
  <si>
    <t>978-5-9614-9004-6</t>
  </si>
  <si>
    <t>Учусь читать с Конни: В гостях у пони</t>
  </si>
  <si>
    <t>ADH2111328-P</t>
  </si>
  <si>
    <t>978-5-9614-7668-2</t>
  </si>
  <si>
    <t>Учусь читать с Конни: Волшебный сон</t>
  </si>
  <si>
    <t>ADH2111327-P</t>
  </si>
  <si>
    <t>978-5-9614-7667-5</t>
  </si>
  <si>
    <t>Учусь читать с Конни: Загадочный воришка</t>
  </si>
  <si>
    <t>ADH2206135-P</t>
  </si>
  <si>
    <t>978-5-9614-8174-7</t>
  </si>
  <si>
    <t>Учусь читать с Конни: Кот и мышь в школе</t>
  </si>
  <si>
    <t>ADH2111326-P</t>
  </si>
  <si>
    <t>978-5-9614-7666-8</t>
  </si>
  <si>
    <t>Учусь читать с Конни: Куда пропал Мяф?</t>
  </si>
  <si>
    <t>ADH2105115-P</t>
  </si>
  <si>
    <t>978-5-9614-7600-2</t>
  </si>
  <si>
    <t>Учусь читать с Конни: Любимая пони Флеки</t>
  </si>
  <si>
    <t>ADH2206136-P</t>
  </si>
  <si>
    <t>978-5-9614-8175-4</t>
  </si>
  <si>
    <t>Учусь читать с Конни: Прогулки по лесу</t>
  </si>
  <si>
    <t>ADH2206134-P</t>
  </si>
  <si>
    <t>978-5-9614-8173-0</t>
  </si>
  <si>
    <t>Учусь читать с Конни: Сборник</t>
  </si>
  <si>
    <t>ADH2203156-P</t>
  </si>
  <si>
    <t>978-5-9614-7873-0</t>
  </si>
  <si>
    <t>Учусь читать с Конни. Пропавший воздушный змей</t>
  </si>
  <si>
    <t>ADH2211076-P</t>
  </si>
  <si>
    <t>978-5-9614-8441-0</t>
  </si>
  <si>
    <t>Учусь читать с Конни. Я не боюсь!</t>
  </si>
  <si>
    <t>ADH2211077-P</t>
  </si>
  <si>
    <t>978-5-9614-8442-7</t>
  </si>
  <si>
    <t>[Развивающие тетради, Лучший друг — Конни] Цифры. Первый счет: Готовимся к школе и учим цифры вместе с Конни!</t>
  </si>
  <si>
    <t>ADA2304204-P</t>
  </si>
  <si>
    <t>978-5-9614-8707-7</t>
  </si>
  <si>
    <t>[Развивающие тетради, Лучший друг — Конни] Чистим зубы: Учимся правильно чистить зубы вместе с Конни!</t>
  </si>
  <si>
    <t>ADH2302182-P</t>
  </si>
  <si>
    <t>978-5-9614-8715-2</t>
  </si>
  <si>
    <t>Читательский дневник с Конни</t>
  </si>
  <si>
    <t>ADH2211087-P</t>
  </si>
  <si>
    <t>978-5-9614-8452-6</t>
  </si>
  <si>
    <t>7.06. Серия "Уроки из жизни"</t>
  </si>
  <si>
    <t>Бояркина Полина</t>
  </si>
  <si>
    <t>Чему я могу научиться у Александра Пушкина</t>
  </si>
  <si>
    <t>ADK2412122-P</t>
  </si>
  <si>
    <t>978-5-9614-9322-1</t>
  </si>
  <si>
    <t>Баженова-Сорокина Александра</t>
  </si>
  <si>
    <t>Чему я могу научиться у Артура Конан Дойла</t>
  </si>
  <si>
    <t>ADK2310052-P</t>
  </si>
  <si>
    <t>978-5-9614-9321-4</t>
  </si>
  <si>
    <t>Багаутдинов Айрат</t>
  </si>
  <si>
    <t>Чему я могу научиться у Владимира Шухова</t>
  </si>
  <si>
    <t>ADK2310109-P</t>
  </si>
  <si>
    <t>978-5-9614-9346-7</t>
  </si>
  <si>
    <t xml:space="preserve"> Лё Февр Даниэль</t>
  </si>
  <si>
    <t>Чему я могу научиться у Джеймса Кэмерона</t>
  </si>
  <si>
    <t>ADK2403103-P</t>
  </si>
  <si>
    <t>978-5-9614-9691-8</t>
  </si>
  <si>
    <t>21.01.2025</t>
  </si>
  <si>
    <t>Яковлева Юлия</t>
  </si>
  <si>
    <t>Чему я могу научиться у Майи Плисецкой</t>
  </si>
  <si>
    <t>ADH2412277-P</t>
  </si>
  <si>
    <t>978-5-9614-7497-8</t>
  </si>
  <si>
    <t>Михневич Юлия</t>
  </si>
  <si>
    <t>Чему я могу научиться у Надежды Ладыгиной-Котс</t>
  </si>
  <si>
    <t>ADK2310110-P</t>
  </si>
  <si>
    <t>978-5-9614-9347-4</t>
  </si>
  <si>
    <t>Чему я могу научиться у Николая Миклухо-Маклая</t>
  </si>
  <si>
    <t>ADH2205112-P</t>
  </si>
  <si>
    <t>978-5-9614-8094-8</t>
  </si>
  <si>
    <t>Акулова Наталья</t>
  </si>
  <si>
    <t>Чему я могу научиться у Сергея Королёва</t>
  </si>
  <si>
    <t>ADH2304140-P</t>
  </si>
  <si>
    <t>978-5-9614-2436-2</t>
  </si>
  <si>
    <t>Чему я могу научиться у Сергея Рахманинова</t>
  </si>
  <si>
    <t>ADK2310108-P</t>
  </si>
  <si>
    <t>978-5-9614-9345-0</t>
  </si>
  <si>
    <t>Медина Мелисса, Колтинг Фредрик</t>
  </si>
  <si>
    <t>Чему я могу научиться у Стива Джобса</t>
  </si>
  <si>
    <t>ADK2501023-P</t>
  </si>
  <si>
    <t>978-5-9614-7135-9</t>
  </si>
  <si>
    <t>Король Сергей</t>
  </si>
  <si>
    <t>Чему я могу научиться у Стивена Хокинга</t>
  </si>
  <si>
    <t>ADH2312037-P</t>
  </si>
  <si>
    <t>978-5-9614-2000-5</t>
  </si>
  <si>
    <t>Чему я могу научиться у Туве Янссон</t>
  </si>
  <si>
    <t>ADK2302016-P</t>
  </si>
  <si>
    <t>978-5-9614-8761-9</t>
  </si>
  <si>
    <t>Кудь-Сверчков Сергей</t>
  </si>
  <si>
    <t>Чему я могу научиться у Юрия Гагарина</t>
  </si>
  <si>
    <t>ADH2412280-P</t>
  </si>
  <si>
    <t>978-5-9614-8100-6</t>
  </si>
  <si>
    <t>7.08. Серия "Другие сказки"</t>
  </si>
  <si>
    <t>Грив Катрин</t>
  </si>
  <si>
    <t>Как же теперь сказать правду?</t>
  </si>
  <si>
    <t>ADH1911185-P</t>
  </si>
  <si>
    <t>978-5-9614-3200-8</t>
  </si>
  <si>
    <t>Другие сказки</t>
  </si>
  <si>
    <t>Кункель Даниэла</t>
  </si>
  <si>
    <t>Маленький Мы в школе: История о том, как плохо, когда все против одного</t>
  </si>
  <si>
    <t>ADH2002013-P</t>
  </si>
  <si>
    <t>978-5-9614-3603-7</t>
  </si>
  <si>
    <t>Маленький Мы: История о том, как найти и не потерять лучшего друга</t>
  </si>
  <si>
    <t>ADH2001072-P</t>
  </si>
  <si>
    <t>978-5-9614-3304-3</t>
  </si>
  <si>
    <t>7.09 Серия "Басни бабушки Лейлы"</t>
  </si>
  <si>
    <t>Козикоглу Тюлин</t>
  </si>
  <si>
    <t>Ленивая рыбка Ленни</t>
  </si>
  <si>
    <t>ADH2306083-P</t>
  </si>
  <si>
    <t>978-5-9614-9034-3</t>
  </si>
  <si>
    <t>Басни бабушки Лейлы</t>
  </si>
  <si>
    <t>Нетерпеливый комар Оззи</t>
  </si>
  <si>
    <t>ADH2303022-P</t>
  </si>
  <si>
    <t>978-5-9614-8941-5</t>
  </si>
  <si>
    <t>Ревнивая лягушка Квака</t>
  </si>
  <si>
    <t>ADH2303021-P</t>
  </si>
  <si>
    <t>978-5-9614-8940-8</t>
  </si>
  <si>
    <t>Стеснительный пёс Роб</t>
  </si>
  <si>
    <t>ADH2111324-P</t>
  </si>
  <si>
    <t>978-5-9614-4641-8</t>
  </si>
  <si>
    <t>Упрямый ёжик Колючка и другие истории: Басни для развития эмоционального интеллекта</t>
  </si>
  <si>
    <t>ADH2201079-P</t>
  </si>
  <si>
    <t>978-5-9614-7752-8</t>
  </si>
  <si>
    <t>7.10. Серия "Истории про Пярта"</t>
  </si>
  <si>
    <t>Саар Анти</t>
  </si>
  <si>
    <t>Пярт и последний кусок торта</t>
  </si>
  <si>
    <t>Пер. с эст</t>
  </si>
  <si>
    <t>ADH2307098-P</t>
  </si>
  <si>
    <t>978-5-9614-3855-0</t>
  </si>
  <si>
    <t>Истории про Пярта</t>
  </si>
  <si>
    <t>Пярт и соседские сливы</t>
  </si>
  <si>
    <t>ADH2307099-P</t>
  </si>
  <si>
    <t>978-5-9614-3854-3</t>
  </si>
  <si>
    <t>Пярт не может прыгнуть сальто</t>
  </si>
  <si>
    <t>ADH2007099-P</t>
  </si>
  <si>
    <t>978-5-9614-3852-9</t>
  </si>
  <si>
    <t>Пярт проехал остановку</t>
  </si>
  <si>
    <t>ADH2007103-P</t>
  </si>
  <si>
    <t>978-5-9614-3856-7</t>
  </si>
  <si>
    <t>Стой тут, Пярт!</t>
  </si>
  <si>
    <t>ADH2007100-P</t>
  </si>
  <si>
    <t>978-5-9614-3853-6</t>
  </si>
  <si>
    <t>7.11. Серия "Якоб — лучший друг Конни"</t>
  </si>
  <si>
    <t>Бансер Неле</t>
  </si>
  <si>
    <t>Якоб в детском саду</t>
  </si>
  <si>
    <t>ADH2409270-P</t>
  </si>
  <si>
    <t>978-5-9614-4711-8</t>
  </si>
  <si>
    <t>Якоб - лучший друг Конни</t>
  </si>
  <si>
    <t>Якоб в поликлинике</t>
  </si>
  <si>
    <t>ADH2410136-P</t>
  </si>
  <si>
    <t>978-5-0063-0263-1</t>
  </si>
  <si>
    <t>Якоб всё делает сам</t>
  </si>
  <si>
    <t>ADH2402053-P</t>
  </si>
  <si>
    <t>978-5-9614-7753-5</t>
  </si>
  <si>
    <t>Якоб говорит "нет"</t>
  </si>
  <si>
    <t>ADH2403129-P</t>
  </si>
  <si>
    <t>978-5-9614-9702-1</t>
  </si>
  <si>
    <t>Якоб занимается гимнастикой</t>
  </si>
  <si>
    <t>ADH2211078-P</t>
  </si>
  <si>
    <t>978-5-9614-8443-4</t>
  </si>
  <si>
    <t>Якоб злится</t>
  </si>
  <si>
    <t>ADH2309135-P</t>
  </si>
  <si>
    <t>978-5-9614-8060-3</t>
  </si>
  <si>
    <t>Айнвольт Илона</t>
  </si>
  <si>
    <t>Якоб и беговел</t>
  </si>
  <si>
    <t>ADH2103021-P</t>
  </si>
  <si>
    <t>978-5-9614-7165-6</t>
  </si>
  <si>
    <t>Якоб и Конни не боятся темноты</t>
  </si>
  <si>
    <t>ADH2209117-P</t>
  </si>
  <si>
    <t>978-5-9614-7665-1</t>
  </si>
  <si>
    <t>Якоб и мокрые штанишки</t>
  </si>
  <si>
    <t>ADH2311223-P</t>
  </si>
  <si>
    <t>978-5-9614-7374-2</t>
  </si>
  <si>
    <t>Якоб играет в футбол</t>
  </si>
  <si>
    <t>ADH2211080-P</t>
  </si>
  <si>
    <t>978-5-9614-8445-8</t>
  </si>
  <si>
    <t>Якоб на детской площадке</t>
  </si>
  <si>
    <t>ADH2309134-P</t>
  </si>
  <si>
    <t>978-5-9614-8952-1</t>
  </si>
  <si>
    <t>Якоб не хочет пробовать новое</t>
  </si>
  <si>
    <t>ADH2311222-P</t>
  </si>
  <si>
    <t>978-5-9614-4707-1</t>
  </si>
  <si>
    <t>Якоб ночует у бабушки с дедушкой</t>
  </si>
  <si>
    <t>ADH2105100-P</t>
  </si>
  <si>
    <t>978-5-9614-8059-7</t>
  </si>
  <si>
    <t>Якоб поранился</t>
  </si>
  <si>
    <t>ADK2305050-P</t>
  </si>
  <si>
    <t>978-5-9614-8963-7</t>
  </si>
  <si>
    <t>Якоб путешествует на поезде</t>
  </si>
  <si>
    <t>ADH2211079-P</t>
  </si>
  <si>
    <t>978-5-9614-8444-1</t>
  </si>
  <si>
    <t>Якоб ссорится с Конни</t>
  </si>
  <si>
    <t>ADH2209115-P</t>
  </si>
  <si>
    <t>978-5-9614-4651-7</t>
  </si>
  <si>
    <t>Якоб учит правила дорожного движения</t>
  </si>
  <si>
    <t>ADH2402051-P</t>
  </si>
  <si>
    <t>978-5-9614-8446-5</t>
  </si>
  <si>
    <t>[Якоб — лучший друг Конни] Якоб учится общаться. 10 историй в одной книге</t>
  </si>
  <si>
    <t>ADK2407196-P</t>
  </si>
  <si>
    <t>978-5-0063-0084-2</t>
  </si>
  <si>
    <t>Якоб учится плавать</t>
  </si>
  <si>
    <t>ADH2211082-P</t>
  </si>
  <si>
    <t>978-5-9614-8447-2</t>
  </si>
  <si>
    <t>Гримм Сандра, Бансер Неле, Айнвольт Илона, Хофманн Юлия</t>
  </si>
  <si>
    <t>[Якоб — лучший друг Конни] Якоб учится самостоятельности. 10 историй в одной книге</t>
  </si>
  <si>
    <t>ADK2405017-P</t>
  </si>
  <si>
    <t>978-5-9614-8960-6</t>
  </si>
  <si>
    <t>ADK2409272-P</t>
  </si>
  <si>
    <t>978-5-0063-0202-0</t>
  </si>
  <si>
    <t>Якоб хочет на горшок</t>
  </si>
  <si>
    <t>ADH2409280-P</t>
  </si>
  <si>
    <t>978-5-9614-5724-7</t>
  </si>
  <si>
    <t>Якоб чистит зубы</t>
  </si>
  <si>
    <t>ADH2410066-P</t>
  </si>
  <si>
    <t>978-5-0063-0221-1</t>
  </si>
  <si>
    <t>Якоб, пора купаться</t>
  </si>
  <si>
    <t>ADH2105095-P</t>
  </si>
  <si>
    <t>978-5-9614-8061-0</t>
  </si>
  <si>
    <t>Якоб, пора спать!</t>
  </si>
  <si>
    <t>ADH2410055-P</t>
  </si>
  <si>
    <t>978-5-9614-7373-5</t>
  </si>
  <si>
    <t>Якобу соска больше не нужна</t>
  </si>
  <si>
    <t>ADH2012083-P</t>
  </si>
  <si>
    <t>978-5-9614-4695-1</t>
  </si>
  <si>
    <t>7.12. Серия "Знакомство с профессиями"</t>
  </si>
  <si>
    <t>Автомеханик</t>
  </si>
  <si>
    <t>ADK2403127-P</t>
  </si>
  <si>
    <t>978-5-9614-9701-4</t>
  </si>
  <si>
    <t>Водитель автобуса</t>
  </si>
  <si>
    <t>ADH2312133-P</t>
  </si>
  <si>
    <t>978-5-9614-5616-5</t>
  </si>
  <si>
    <t>Водитель грузовика</t>
  </si>
  <si>
    <t>ADK2403125-P</t>
  </si>
  <si>
    <t>978-5-9614-9699-4</t>
  </si>
  <si>
    <t>Водитель мусоровоза</t>
  </si>
  <si>
    <t>ADH2412053-P</t>
  </si>
  <si>
    <t>978-5-9614-5255-6</t>
  </si>
  <si>
    <t>Капитан буксира</t>
  </si>
  <si>
    <t>ADH2111030-P</t>
  </si>
  <si>
    <t>978-5-9614-7598-2</t>
  </si>
  <si>
    <t>Космонавт</t>
  </si>
  <si>
    <t>ADK2307043-P</t>
  </si>
  <si>
    <t>978-5-9614-9090-9</t>
  </si>
  <si>
    <t>Машинист поезда</t>
  </si>
  <si>
    <t>ADK2409078-P</t>
  </si>
  <si>
    <t>978-5-9614-9089-3</t>
  </si>
  <si>
    <t>Певица</t>
  </si>
  <si>
    <t>ADH2012352-P</t>
  </si>
  <si>
    <t>978-5-9614-5624-0</t>
  </si>
  <si>
    <t>Полицейский</t>
  </si>
  <si>
    <t>ADH2409279-P</t>
  </si>
  <si>
    <t>978-5-0063-0189-4</t>
  </si>
  <si>
    <t>Почтальон</t>
  </si>
  <si>
    <t>ADH2203215-P</t>
  </si>
  <si>
    <t>978-5-9614-8762-6</t>
  </si>
  <si>
    <t>Пчеловод</t>
  </si>
  <si>
    <t>ADH2202168-P</t>
  </si>
  <si>
    <t>978-5-9614-7817-4</t>
  </si>
  <si>
    <t>Садовод</t>
  </si>
  <si>
    <t>ADH2105246-P</t>
  </si>
  <si>
    <t>978-5-9614-7376-6</t>
  </si>
  <si>
    <t>Смотритель зоопарка</t>
  </si>
  <si>
    <t>ADH2105245-P</t>
  </si>
  <si>
    <t>978-5-9614-7352-0</t>
  </si>
  <si>
    <t>Стоматолог</t>
  </si>
  <si>
    <t>ADH2410351-P</t>
  </si>
  <si>
    <t>978-5-9614-7444-2</t>
  </si>
  <si>
    <t>Шюрманн Сюзанна</t>
  </si>
  <si>
    <t>Строитель</t>
  </si>
  <si>
    <t>ADH2410352-P</t>
  </si>
  <si>
    <t>978-5-9614-5580-9</t>
  </si>
  <si>
    <t>Шеф-повар</t>
  </si>
  <si>
    <t>ADH2501114-P</t>
  </si>
  <si>
    <t>978-5-9614-5585-4</t>
  </si>
  <si>
    <t>7.13. Серия "Огурчик и Фасоль"</t>
  </si>
  <si>
    <t>Обрист Юрг</t>
  </si>
  <si>
    <t>Огурчик и Фасоль идут по следу: Стелла Белла и украденная мартышка</t>
  </si>
  <si>
    <t>ADH2106115-P</t>
  </si>
  <si>
    <t>978-5-9614-7418-3</t>
  </si>
  <si>
    <t>Огурчик и Фасоль идут по следу: Фальшивый отпуск</t>
  </si>
  <si>
    <t>ADH2106116-P</t>
  </si>
  <si>
    <t>978-5-9614-7449-7</t>
  </si>
  <si>
    <t>7.14. Наука для детей</t>
  </si>
  <si>
    <t>Альфонси Дж.</t>
  </si>
  <si>
    <t>STEAM-образование: Математика</t>
  </si>
  <si>
    <t>ADH2012066-P</t>
  </si>
  <si>
    <t>978-5-9614-4575-6</t>
  </si>
  <si>
    <t>STEAM-образование</t>
  </si>
  <si>
    <t>Мильнер Анжела</t>
  </si>
  <si>
    <t>Большая книга динозавров</t>
  </si>
  <si>
    <t>a180212</t>
  </si>
  <si>
    <t>978-5-9614-7127-4</t>
  </si>
  <si>
    <t>Хартцман Марк</t>
  </si>
  <si>
    <t>Большая книга Марса: Миллион фактов от фараонов до Маска</t>
  </si>
  <si>
    <t>ADH2012353-P</t>
  </si>
  <si>
    <t>978-5-9614-8002-3</t>
  </si>
  <si>
    <t>Франта Иржи, Гараштова Гелена</t>
  </si>
  <si>
    <t>Большая книга темноты</t>
  </si>
  <si>
    <t>ADA1908065-P</t>
  </si>
  <si>
    <t>978-5-9614-6638-6</t>
  </si>
  <si>
    <t>DP11204</t>
  </si>
  <si>
    <t>Сандрин Дюма-Руа</t>
  </si>
  <si>
    <t>Зеленая планета. Возобновляемые источники энергии</t>
  </si>
  <si>
    <t>Пешком в историю</t>
  </si>
  <si>
    <t>DP1120-4</t>
  </si>
  <si>
    <t>978-5-907471-11-5</t>
  </si>
  <si>
    <t>285х215</t>
  </si>
  <si>
    <t>Медведева Таня</t>
  </si>
  <si>
    <t>Наука для детей Как издать научный журнал, если ты Енот</t>
  </si>
  <si>
    <t>ADH1912143-P</t>
  </si>
  <si>
    <t>978-5-9614-3230-5</t>
  </si>
  <si>
    <t>DP11203</t>
  </si>
  <si>
    <t>Мишель Франческони</t>
  </si>
  <si>
    <t>Электрический ток</t>
  </si>
  <si>
    <t>DP1120-3</t>
  </si>
  <si>
    <t>978-5-907471-12-2</t>
  </si>
  <si>
    <t>7.15. Библиотека Маши Рупасовой</t>
  </si>
  <si>
    <t>Дело о пропавшей учительнице, или параллельные человечества палеолита</t>
  </si>
  <si>
    <t>ADH2403050-P</t>
  </si>
  <si>
    <t>978-5-9614-5963-0</t>
  </si>
  <si>
    <t>Библиотека Маши Рупасовой</t>
  </si>
  <si>
    <t>7.16 Серия "Приключения Огриков"</t>
  </si>
  <si>
    <t>Дитль Эрхард</t>
  </si>
  <si>
    <t>Знакомьтесь, Огрики!</t>
  </si>
  <si>
    <t>ADH2201105-P</t>
  </si>
  <si>
    <t>978-5-9614-7209-7</t>
  </si>
  <si>
    <t>Приключения Огриков</t>
  </si>
  <si>
    <t>Огрики в детском саду</t>
  </si>
  <si>
    <t>ADH2104117-P</t>
  </si>
  <si>
    <t>978-5-9614-7241-7</t>
  </si>
  <si>
    <t>Огрики в школе</t>
  </si>
  <si>
    <t>ADH2104118-P</t>
  </si>
  <si>
    <t>978-5-9614-7242-4</t>
  </si>
  <si>
    <t>Огрики и день рождения Огнепыха</t>
  </si>
  <si>
    <t>ADH2104044-P</t>
  </si>
  <si>
    <t>978-5-9614-7214-1</t>
  </si>
  <si>
    <t>Огрики и динозаврик: Доисторические приключения</t>
  </si>
  <si>
    <t>ADH2112074-P</t>
  </si>
  <si>
    <t>978-5-9614-7691-0</t>
  </si>
  <si>
    <t>Огрики и непорядок с соседом</t>
  </si>
  <si>
    <t>ADH2106125-P</t>
  </si>
  <si>
    <t>978-5-9614-7447-3</t>
  </si>
  <si>
    <t>Огрики из Грязьбурга</t>
  </si>
  <si>
    <t>ADH2112080-P</t>
  </si>
  <si>
    <t>978-5-9614-7208-0</t>
  </si>
  <si>
    <t>Огрики: Большой переезд</t>
  </si>
  <si>
    <t>ADH2111129-P</t>
  </si>
  <si>
    <t>978-5-9614-7676-7</t>
  </si>
  <si>
    <t>Огрики: Жабечательные сказки дедушки Огри</t>
  </si>
  <si>
    <t>ADH2111128-P</t>
  </si>
  <si>
    <t>978-5-9614-7692-7</t>
  </si>
  <si>
    <t>Огрики: Кто же вылечит дракона?</t>
  </si>
  <si>
    <t>ADH2106123-P</t>
  </si>
  <si>
    <t>978-5-9614-7446-6</t>
  </si>
  <si>
    <t>Огрики: Куда хотим, туда летим!</t>
  </si>
  <si>
    <t>ADH2104046-P</t>
  </si>
  <si>
    <t>978-5-9614-7215-8</t>
  </si>
  <si>
    <t>Огрики: Приключения в космосе</t>
  </si>
  <si>
    <t>ADH2111143-P</t>
  </si>
  <si>
    <t>978-5-9614-7629-3</t>
  </si>
  <si>
    <t>7.17. Для самостоятельного чтения</t>
  </si>
  <si>
    <t>Олейников Алексей</t>
  </si>
  <si>
    <t xml:space="preserve"> Тариф "Сны и сказки": Четыре путешествия Даши Кузнецовой</t>
  </si>
  <si>
    <t>ADK2404158-P</t>
  </si>
  <si>
    <t>978-5-9614-9790-8</t>
  </si>
  <si>
    <t>"Ромео и Джульетта" Уильяма Шекспира</t>
  </si>
  <si>
    <t>ADH1901024-P</t>
  </si>
  <si>
    <t>978-5-9614-2398-3</t>
  </si>
  <si>
    <t>Дети читают</t>
  </si>
  <si>
    <t>Филиппенко Валя, Терешин Никита</t>
  </si>
  <si>
    <t>20 подарков на Новый год</t>
  </si>
  <si>
    <t>ADK2408126-P</t>
  </si>
  <si>
    <t>978-5-0063-0094-1</t>
  </si>
  <si>
    <t>Шмидт Хайке Ева</t>
  </si>
  <si>
    <t>Банда лам. На седьмом небе</t>
  </si>
  <si>
    <t>ADK2310063-P</t>
  </si>
  <si>
    <t>978-5-9614-9328-3</t>
  </si>
  <si>
    <t>Банда лам</t>
  </si>
  <si>
    <t>Банда лам. Раскрыть дело? Раз плюнуть!</t>
  </si>
  <si>
    <t>ADK2310062-P</t>
  </si>
  <si>
    <t>978-5-9614-9327-6</t>
  </si>
  <si>
    <t>Шмидт Хайке Ева, Ренгер Николай</t>
  </si>
  <si>
    <t>Банда лам. Секреты Тёмного леса</t>
  </si>
  <si>
    <t>ADK2310064-P</t>
  </si>
  <si>
    <t>978-5-9614-9329-0</t>
  </si>
  <si>
    <t>Ципфель Дита, Дэвис Беа</t>
  </si>
  <si>
    <t>Бз-з-з-з-з-з! Джонни, самый странный муравей</t>
  </si>
  <si>
    <t>ADK2307065-P</t>
  </si>
  <si>
    <t>978-5-9614-8169-3</t>
  </si>
  <si>
    <t>СТРОКИ  Коллектив авторов</t>
  </si>
  <si>
    <t>[СТРОКИ] Жажда приключений. Рассказы</t>
  </si>
  <si>
    <t>АДети+Строки</t>
  </si>
  <si>
    <t>ADC2304002-P</t>
  </si>
  <si>
    <t>978-5-9614-8886-9</t>
  </si>
  <si>
    <t>АльпинаДети + МТС Строки</t>
  </si>
  <si>
    <t>Руис Майрена</t>
  </si>
  <si>
    <t>[СТРОКИ] Звёзды Академии Лос Суэньос</t>
  </si>
  <si>
    <t>ADC2311153-P</t>
  </si>
  <si>
    <t>978-5-9614-9463-1</t>
  </si>
  <si>
    <t>[СТРОКИ] Звёзды: время блистать</t>
  </si>
  <si>
    <t>ADC2311154-P</t>
  </si>
  <si>
    <t>978-5-9614-9464-8</t>
  </si>
  <si>
    <t>[СТРОКИ] Кролы и цаки</t>
  </si>
  <si>
    <t>ADC2308160-P</t>
  </si>
  <si>
    <t>978-5-9614-9199-9</t>
  </si>
  <si>
    <t>[СТРОКИ] Мафия с подоконника</t>
  </si>
  <si>
    <t>ADC2410362-P</t>
  </si>
  <si>
    <t>978-5-9614-9072-5</t>
  </si>
  <si>
    <t>Джонс Келли</t>
  </si>
  <si>
    <t>[СТРОКИ] Необыкновенные куры для лучшего фермера-птицевода</t>
  </si>
  <si>
    <t>ADC2305109-P</t>
  </si>
  <si>
    <t>978-5-9614-8991-0</t>
  </si>
  <si>
    <t>Филиппенко Валя</t>
  </si>
  <si>
    <t>[СТРОКИ] Пафка и шкаф</t>
  </si>
  <si>
    <t>ADC2305106-P</t>
  </si>
  <si>
    <t>978-5-9614-8990-3</t>
  </si>
  <si>
    <t>Первоклассники и ж-ж-ж . Истории о первых днях в школе, тундровике Шушане, четырех грачах и одном барсуке</t>
  </si>
  <si>
    <t>ADH2002010-P</t>
  </si>
  <si>
    <t>978-5-9614-3468-2</t>
  </si>
  <si>
    <t>[СТРОКИ] Приключения Майи, или История необычной девочки</t>
  </si>
  <si>
    <t>ADC2310085-P</t>
  </si>
  <si>
    <t>978-5-9614-9337-5</t>
  </si>
  <si>
    <t>Брилль Олаф, Фогт Михаэль</t>
  </si>
  <si>
    <t>Приключения Перри Родана. Тайна блуждающей планеты</t>
  </si>
  <si>
    <t>ADK2402190-P</t>
  </si>
  <si>
    <t>978-5-9614-9654-3</t>
  </si>
  <si>
    <t>Приключения Перри Родана</t>
  </si>
  <si>
    <t>Пупита, Листик и Севан в поисках праздника</t>
  </si>
  <si>
    <t>ADH2002019-P</t>
  </si>
  <si>
    <t>978-5-9614-3706-5</t>
  </si>
  <si>
    <t>Родственник жирафа и другие истории</t>
  </si>
  <si>
    <t>ADH2007074-P</t>
  </si>
  <si>
    <t>978-5-9614-3850-5</t>
  </si>
  <si>
    <t xml:space="preserve"> Земляничкина Екатерина, Назарова Лариса</t>
  </si>
  <si>
    <t>[СТРОКИ] Смотри от страха не умри</t>
  </si>
  <si>
    <t>ADC2304003-P</t>
  </si>
  <si>
    <t>978-5-9614-8887-6</t>
  </si>
  <si>
    <t>[СТРОКИ] Снежный шар историй. Рассказы</t>
  </si>
  <si>
    <t>ADC2307001-P</t>
  </si>
  <si>
    <t>978-5-9614-9073-2</t>
  </si>
  <si>
    <t>[СТРОКИ] Цвета. Рассказы</t>
  </si>
  <si>
    <t>ADC2304001-P</t>
  </si>
  <si>
    <t>978-5-9614-8885-2</t>
  </si>
  <si>
    <t>[СТРОКИ] Чёртов угол</t>
  </si>
  <si>
    <t>ADC2309189-P</t>
  </si>
  <si>
    <t>978-5-9614-9280-4</t>
  </si>
  <si>
    <t>7.18. Календари</t>
  </si>
  <si>
    <t>Драконы. Календарь на 2024 год</t>
  </si>
  <si>
    <t>ADK2309210-P</t>
  </si>
  <si>
    <t>978-5-9614-9290-3</t>
  </si>
  <si>
    <t>7.19. Новогодний ассортимент</t>
  </si>
  <si>
    <t>[специальное издание 24/25, белый медведь] 6 минут для детей: Первый мотивационный ежедневник ребенка</t>
  </si>
  <si>
    <t>ADH2403148-P</t>
  </si>
  <si>
    <t>978-5-9614-9704-5</t>
  </si>
  <si>
    <t>Дронова Катерина</t>
  </si>
  <si>
    <t>Едим как в сказке: Зимние рецепты из любимых детских книг</t>
  </si>
  <si>
    <t>ADK2311011-P</t>
  </si>
  <si>
    <t>978-5-9614-9429-7</t>
  </si>
  <si>
    <t>Зима в городе. Раскраска-плакат</t>
  </si>
  <si>
    <t>ADK2407084-P</t>
  </si>
  <si>
    <t>978-5-0063-0009-5</t>
  </si>
  <si>
    <t>Зима в лесу. Раскраска-плакат</t>
  </si>
  <si>
    <t>ADK2406006-P</t>
  </si>
  <si>
    <t>978-5-9614-9896-7</t>
  </si>
  <si>
    <t>Наряжаем ёлку с Конни и Якобом: Новогодний набор с наклейками</t>
  </si>
  <si>
    <t>ADH2109195-G</t>
  </si>
  <si>
    <t>978-5-9614-7519-7</t>
  </si>
  <si>
    <t>7.20. Серия "Книжный старт"</t>
  </si>
  <si>
    <t>[Уровень 3, читать не сложно] Где Лев?</t>
  </si>
  <si>
    <t>ADK2402107-P</t>
  </si>
  <si>
    <t>978-5-9614-9620-8</t>
  </si>
  <si>
    <t>Книжный старт</t>
  </si>
  <si>
    <t>[Уровень 1, очень легко читать] Зубы? Зубы... Зубы!</t>
  </si>
  <si>
    <t>ADK2311022-P</t>
  </si>
  <si>
    <t>978-5-9614-9434-1</t>
  </si>
  <si>
    <t>[Уровень 1, очень легко читать] Кто там? Там уж!</t>
  </si>
  <si>
    <t>ADK2309173-P</t>
  </si>
  <si>
    <t>978-5-9614-9272-9</t>
  </si>
  <si>
    <t>[Уровень 1, очень легко читать] Ноги? Ноги... Ноги!</t>
  </si>
  <si>
    <t>ADK2311018-P</t>
  </si>
  <si>
    <t>978-5-9614-9433-4</t>
  </si>
  <si>
    <t>[Уровень 2, легко читать] Слоны идут!</t>
  </si>
  <si>
    <t>ADK2311025-P</t>
  </si>
  <si>
    <t>978-5-9614-9436-5</t>
  </si>
  <si>
    <t>[Уровень 3, читать не сложно] Такса в джипе</t>
  </si>
  <si>
    <t>ADK2402106-P</t>
  </si>
  <si>
    <t>978-5-9614-9619-2</t>
  </si>
  <si>
    <t>[Уровень 2, легко читать] Я и мой кот</t>
  </si>
  <si>
    <t>ADK2311023-P</t>
  </si>
  <si>
    <t>978-5-9614-9435-8</t>
  </si>
  <si>
    <t>08. Книги для родителей и педагогов</t>
  </si>
  <si>
    <t>8.01. Главные книги раздела</t>
  </si>
  <si>
    <t>Новара Даниэле</t>
  </si>
  <si>
    <t>[покет] Наказания бесполезны! Как воспитывать детей, не попадая в ловушку эмоций</t>
  </si>
  <si>
    <t>ADP2409268-P</t>
  </si>
  <si>
    <t>978-5-9614-2292-4</t>
  </si>
  <si>
    <t>Академия Альпина.Дети</t>
  </si>
  <si>
    <t>Он первый начал! Что делать, если дети ссорятся</t>
  </si>
  <si>
    <t>ADP2110102-P</t>
  </si>
  <si>
    <t>978-5-9614-7539-5</t>
  </si>
  <si>
    <t>Ибука Масару</t>
  </si>
  <si>
    <t>После трех уже поздно (обложка с клапанами)</t>
  </si>
  <si>
    <t>NNN2411168-P</t>
  </si>
  <si>
    <t>978-5-91671-826-3</t>
  </si>
  <si>
    <t>После трех уже поздно для пап</t>
  </si>
  <si>
    <t>NNN2501033-P</t>
  </si>
  <si>
    <t>978-5-91671-579-8</t>
  </si>
  <si>
    <t>После трех уже поздно</t>
  </si>
  <si>
    <t>Динаев Алихан</t>
  </si>
  <si>
    <t>Почему он не читает? 100 советов, как увлечь ребенка чтением</t>
  </si>
  <si>
    <t>ADK2412177-P</t>
  </si>
  <si>
    <t>978-5-9614-9965-0</t>
  </si>
  <si>
    <t>19.02.2025</t>
  </si>
  <si>
    <t>[покет-серия] Правила родителей</t>
  </si>
  <si>
    <t>NNN2212079-P</t>
  </si>
  <si>
    <t>978-5-00139-896-7</t>
  </si>
  <si>
    <t>Паршихина Юлия</t>
  </si>
  <si>
    <t>Проект “Детская”: Дизайн-подсказки для создания современной детской комнаты</t>
  </si>
  <si>
    <t>ADP2006140-P</t>
  </si>
  <si>
    <t>978-5-9614-3818-5</t>
  </si>
  <si>
    <t>Уокер Тимоти</t>
  </si>
  <si>
    <t>Финская система обучения: Как устроены лучшие школы в мире</t>
  </si>
  <si>
    <t>AAA2502210-P</t>
  </si>
  <si>
    <t>978-5-9614-6767-3</t>
  </si>
  <si>
    <t>Канг Шими</t>
  </si>
  <si>
    <t>[покет] Цифровая дисциплина: Воспитание здоровых привычек в мире гаджетов и соцсетей</t>
  </si>
  <si>
    <t>ADP2103050-P</t>
  </si>
  <si>
    <t>978-5-9614-7305-6</t>
  </si>
  <si>
    <t>Хогг Трейси</t>
  </si>
  <si>
    <t>[покет] Чего хочет ваш малыш? Учимся понимать новорожденного, когда он плачет</t>
  </si>
  <si>
    <t>ADP2301071-P</t>
  </si>
  <si>
    <t>978-5-9614-2744-8</t>
  </si>
  <si>
    <t>8.02. Серия "Академия ”Альпина.Дети”" (покеты)</t>
  </si>
  <si>
    <t>Баниэль Анат</t>
  </si>
  <si>
    <t>[покет] Дети с неограниченными возможностями. Метод пробуждения мозга для улучшения жизни особых детей</t>
  </si>
  <si>
    <t>ADP2406065-P</t>
  </si>
  <si>
    <t>978-5-9614-2654-0</t>
  </si>
  <si>
    <t>Сазонтова Лейла</t>
  </si>
  <si>
    <t>[покет] Жизнь без школы: Как организовать семейное обучение для вашего ребенка</t>
  </si>
  <si>
    <t>ADP1907138-P</t>
  </si>
  <si>
    <t>978-5-9614-2822-3</t>
  </si>
  <si>
    <t>Не кричите на детей! Как разрешать конфликты с детьми и делать так, чтобы они вас слушали</t>
  </si>
  <si>
    <t>ADP2406073-P</t>
  </si>
  <si>
    <t>978-5-9614-9922-3</t>
  </si>
  <si>
    <t>Эйестад Гюру</t>
  </si>
  <si>
    <t>[покет] Самооценка у детей и подростков: Книга для родителей</t>
  </si>
  <si>
    <t>ADP2010209-P</t>
  </si>
  <si>
    <t>978-5-9614-4163-5</t>
  </si>
  <si>
    <t>Фейлер Брюс</t>
  </si>
  <si>
    <t>[покет] Секреты счастливых семей: как уменьшить хаос в семье</t>
  </si>
  <si>
    <t>ADP2204118-P</t>
  </si>
  <si>
    <t>978-5-9614-8009-2</t>
  </si>
  <si>
    <t>Брайсон  Тина</t>
  </si>
  <si>
    <t>Тревожные родители : ответы на вопросы о жизни с ребенком от А до Я</t>
  </si>
  <si>
    <t>ADP2101052-P</t>
  </si>
  <si>
    <t>978-5-9614-6113-8</t>
  </si>
  <si>
    <t>8.03. Досуг с детьми</t>
  </si>
  <si>
    <t>Голдберг Салли</t>
  </si>
  <si>
    <t>Веселые развивающие игры: С рождения до трех лет</t>
  </si>
  <si>
    <t>NNN1808048-P</t>
  </si>
  <si>
    <t>978-5-00139-146-3</t>
  </si>
  <si>
    <t>Казарина Марина</t>
  </si>
  <si>
    <t>Дорога под звездами: О чем мне поведал Маленький принц</t>
  </si>
  <si>
    <t>PGR2212207-P</t>
  </si>
  <si>
    <t>978-5-206-00166-2</t>
  </si>
  <si>
    <t>Алексеева Татьяна</t>
  </si>
  <si>
    <t>[переплет] Едим как в сказке: Рецепты на каждый день из любимых детских книг</t>
  </si>
  <si>
    <t>ADP2309031-P</t>
  </si>
  <si>
    <t>978-5-9614-2942-8</t>
  </si>
  <si>
    <t>Шеридан Мэри, Ховард Джастин, Олдерсон Дон</t>
  </si>
  <si>
    <t>Игра в раннем детстве от рождения до 6 лет</t>
  </si>
  <si>
    <t>N50906</t>
  </si>
  <si>
    <t>978-5-91671-508-8</t>
  </si>
  <si>
    <t>Раннее развитие</t>
  </si>
  <si>
    <t>Пигарева Надя, Тюльпинова Оксана</t>
  </si>
  <si>
    <t>МЫ ПОГАВКАЛИ! КАК ВЫБРАТЬ И ВОСПИТАТЬ ЩЕНКА</t>
  </si>
  <si>
    <t>ADP2111259-P</t>
  </si>
  <si>
    <t>978-5-9614-7648-4</t>
  </si>
  <si>
    <t>8.04. Здоровье, питание, сон</t>
  </si>
  <si>
    <t>Любовь и брокколи: В поисках детского аппетита</t>
  </si>
  <si>
    <t>a171101</t>
  </si>
  <si>
    <t>978-5-9614-6737-6</t>
  </si>
  <si>
    <t>Гербутова Мария</t>
  </si>
  <si>
    <t>Мама, я пошел! Энциклопедия двигательного развития детей с 0 до 18 месяцев</t>
  </si>
  <si>
    <t>ADK2305051-P</t>
  </si>
  <si>
    <t>978-5-9614-8964-4</t>
  </si>
  <si>
    <t>Антипова Ксения, Бородина Юлия</t>
  </si>
  <si>
    <t>Спи, малыш: Что делать, если малыш плохо спит?</t>
  </si>
  <si>
    <t>ADP2405128-P</t>
  </si>
  <si>
    <t>978-5-9614-8336-9</t>
  </si>
  <si>
    <t>ADP2407055-P</t>
  </si>
  <si>
    <t>978-5-0063-0060-6</t>
  </si>
  <si>
    <t>Фадеева Наталья</t>
  </si>
  <si>
    <t>У ребенка лишний вес? Книга для сознательных родителей / Еда без вреда: Вкусные подсказки</t>
  </si>
  <si>
    <t>a151109</t>
  </si>
  <si>
    <t>978-5-9614-5767-4</t>
  </si>
  <si>
    <t>8.05. Детская психология, воспитание, обучение</t>
  </si>
  <si>
    <t>Быкова Анна, Гант Елена</t>
  </si>
  <si>
    <t>[комплект карточек] А-а-а-а! Мой ребенок : 50 карточек с решениями сложных ситуаций</t>
  </si>
  <si>
    <t>ADP2110142-P</t>
  </si>
  <si>
    <t>978-5-9614-7561-6</t>
  </si>
  <si>
    <t>84x90/32</t>
  </si>
  <si>
    <t>Ла Бэн Элизабет</t>
  </si>
  <si>
    <t>[покет] Ваши внуки: Как любить и не навредить</t>
  </si>
  <si>
    <t>ADP2104149-P</t>
  </si>
  <si>
    <t>978-5-9614-7252-3</t>
  </si>
  <si>
    <t>Чернышев Дмитрий</t>
  </si>
  <si>
    <t>Вертикальный прогресс: Как сделать так, чтобы дети полюбили школу</t>
  </si>
  <si>
    <t>ADP2007161-P</t>
  </si>
  <si>
    <t>978-5-9614-3448-4</t>
  </si>
  <si>
    <t>Лукашенко Марианна, Сидельникова Антонина</t>
  </si>
  <si>
    <t>[покет] ЕГЭ без истерик: Как спокойно подготовиться к любому экзамену</t>
  </si>
  <si>
    <t>ADP2106145-P</t>
  </si>
  <si>
    <t>978-5-9614-7910-2</t>
  </si>
  <si>
    <t>Кривцова Светлана , Нигметжанова Галия</t>
  </si>
  <si>
    <t>Искусство понимать ребенка. 7 шагов к счастливой жизни</t>
  </si>
  <si>
    <t>ADP2210082-P</t>
  </si>
  <si>
    <t>978-5-9614-8391-8</t>
  </si>
  <si>
    <t>Долгополова Мария</t>
  </si>
  <si>
    <t>Как учиться за рубежом бесплатно: Личный опыт студентов иностранных университетов</t>
  </si>
  <si>
    <t>a180410</t>
  </si>
  <si>
    <t>978-5-9614-7017-8</t>
  </si>
  <si>
    <t>Джексон Нина</t>
  </si>
  <si>
    <t>Классный учитель: Как работать с трудными учениками, сложными родителями и получать удовольствие от профессии</t>
  </si>
  <si>
    <t>ADP2409271-P</t>
  </si>
  <si>
    <t>978-5-9614-6517-4</t>
  </si>
  <si>
    <t>Гровер Шон</t>
  </si>
  <si>
    <t>Мой ребенок – тиран! Как вернуть взаимопонимание и покой в семью, где дети не слушаются и грубят</t>
  </si>
  <si>
    <t>ADP2112058-P</t>
  </si>
  <si>
    <t>978-5-9614-7611-8</t>
  </si>
  <si>
    <t>Будникова Ирина</t>
  </si>
  <si>
    <t>Непридуманные истории о детстве</t>
  </si>
  <si>
    <t>PGR2304195-P</t>
  </si>
  <si>
    <t>978-5-206-00219-5</t>
  </si>
  <si>
    <t>Юнттила Нийна</t>
  </si>
  <si>
    <t>Ноль друзей: Как помочь ребенку справиться с одиночеством</t>
  </si>
  <si>
    <t>a161210</t>
  </si>
  <si>
    <t>978-5-9614-5866-4</t>
  </si>
  <si>
    <t>Берджес Дэйв</t>
  </si>
  <si>
    <t>[покет] Обучение как приключение: Как сделать уроки интересными и увлекательными</t>
  </si>
  <si>
    <t>ADP2409146-P</t>
  </si>
  <si>
    <t>978-5-9614-8522-6</t>
  </si>
  <si>
    <t>Обучение через развлечение: Edutainment лагерь как технология современного образования</t>
  </si>
  <si>
    <t>ADP2009160-P</t>
  </si>
  <si>
    <t>978-5-9614-4074-4</t>
  </si>
  <si>
    <t>После трех уже поздно (переплет, суперобложка)</t>
  </si>
  <si>
    <t>NNN2310077-P</t>
  </si>
  <si>
    <t>978-5-91671-789-1</t>
  </si>
  <si>
    <t>Соколова Яна</t>
  </si>
  <si>
    <t>Приемная мама: Как я себе это представляла и как все оказалось на самом деле</t>
  </si>
  <si>
    <t>NNN2010170-P</t>
  </si>
  <si>
    <t>978-5-91671-956-7</t>
  </si>
  <si>
    <t>Фрост Джо</t>
  </si>
  <si>
    <t>Пять элементов гармоничного воспитания малыша</t>
  </si>
  <si>
    <t>N50705</t>
  </si>
  <si>
    <t>978-5-91671-558-3</t>
  </si>
  <si>
    <t>Авдеева Анна, Исупова Ольга, Кулешова Анна, Чернова Жанна, Шпаковская Лариса</t>
  </si>
  <si>
    <t>Родительство 2.0: Почему современные родители должны разбираться во всем?</t>
  </si>
  <si>
    <t>ADP2102182-P</t>
  </si>
  <si>
    <t>978-5-9614-3698-3</t>
  </si>
  <si>
    <t>Буг Джейсон</t>
  </si>
  <si>
    <t>Рожденный читать: Как подружить ребенка с книгой</t>
  </si>
  <si>
    <t>ADP2204002-P</t>
  </si>
  <si>
    <t>978-5-9614-2384-6</t>
  </si>
  <si>
    <t>Семёнова Алёна</t>
  </si>
  <si>
    <t>Ручка: Как принять особенность своего ребенка и сделать его жизнь счастливее</t>
  </si>
  <si>
    <t>NNN2109141-P</t>
  </si>
  <si>
    <t>978-5-00139-745-8</t>
  </si>
  <si>
    <t>Сио-Фашен Жанна</t>
  </si>
  <si>
    <t>Сверходаренный ребенок: Как понять его и помочь добиться успеха</t>
  </si>
  <si>
    <t>a150912</t>
  </si>
  <si>
    <t>978-5-9614-6636-2</t>
  </si>
  <si>
    <t>Лукашенко Марианна</t>
  </si>
  <si>
    <t>Тайм-менеджмент для детей: Как успевать учиться и отдыхать</t>
  </si>
  <si>
    <t>ADP2501103-P</t>
  </si>
  <si>
    <t>978-5-0063-0447-5</t>
  </si>
  <si>
    <t>[покет] Хочу учиться! Вызываем интерес к учебе по методу STEAM</t>
  </si>
  <si>
    <t>ADP2201078-P</t>
  </si>
  <si>
    <t>978-5-9614-7750-4</t>
  </si>
  <si>
    <t>Что такое интеллект и как его развивать. Роль образования и традиций</t>
  </si>
  <si>
    <t>NNN2405154-P</t>
  </si>
  <si>
    <t>978-5-91671-823-2</t>
  </si>
  <si>
    <t>[покет] Чуткие родители: Как вырастить ребенка, способного на здоровые отношения с собой и миром</t>
  </si>
  <si>
    <t>ADK2309214-P</t>
  </si>
  <si>
    <t>978-5-9614-9342-9</t>
  </si>
  <si>
    <t>Путеводители для родителей</t>
  </si>
  <si>
    <t>Губанова Нана</t>
  </si>
  <si>
    <t>Я поживу еще немного. Дневник подростка</t>
  </si>
  <si>
    <t>LGI1908102-P</t>
  </si>
  <si>
    <t>978-5-907274-06-8</t>
  </si>
  <si>
    <t>8.06. Серия "Путеводители для родителей" (покеты)</t>
  </si>
  <si>
    <t>Генен Бике</t>
  </si>
  <si>
    <t>[покет] Высокочувствительные. Как позаботиться о себе, пока ты заботишься о ребенке</t>
  </si>
  <si>
    <t>ADP2112130-P</t>
  </si>
  <si>
    <t>978-5-9614-8989-7</t>
  </si>
  <si>
    <t>Свитленд Дарлин, Столберг Рон</t>
  </si>
  <si>
    <t>[покет] Научите ребенка думать: Как вырастить умного, уверенного и самостоятельного человека</t>
  </si>
  <si>
    <t>ADP2205084-P</t>
  </si>
  <si>
    <t>978-5-9614-8081-8</t>
  </si>
  <si>
    <t>[покет] Особенные дети: Как подарить счастливую жизнь ребенку с особенностями развития</t>
  </si>
  <si>
    <t>ADP2304068-P</t>
  </si>
  <si>
    <t>978-5-9614-8911-8</t>
  </si>
  <si>
    <t>[покет] Осторожно, пубертат! Как понять, что происходит в голове у подростка и что с этим делать</t>
  </si>
  <si>
    <t>ADP2212127-P</t>
  </si>
  <si>
    <t>978-5-9614-8575-2</t>
  </si>
  <si>
    <t>Компернолле Тео</t>
  </si>
  <si>
    <t>[покет] Подросток и гаджеты</t>
  </si>
  <si>
    <t>ADK2301051-P</t>
  </si>
  <si>
    <t>978-5-9614-8611-7</t>
  </si>
  <si>
    <t>09. Художественная литература</t>
  </si>
  <si>
    <t>9.01. Главные книги раздела</t>
  </si>
  <si>
    <t xml:space="preserve"> Сердце пармы</t>
  </si>
  <si>
    <t>NNP2212118-P</t>
  </si>
  <si>
    <t>978-5-00139-500-3</t>
  </si>
  <si>
    <t>Оруэлл Джордж</t>
  </si>
  <si>
    <t>1984 (новый перевод)</t>
  </si>
  <si>
    <t>AAP2411198-P</t>
  </si>
  <si>
    <t>978-5-9614-2525-3</t>
  </si>
  <si>
    <t>Альпина. Антиутопии</t>
  </si>
  <si>
    <t>Ремизов Виктор</t>
  </si>
  <si>
    <t>Вечная мерзлота</t>
  </si>
  <si>
    <t>NNP2411079-P</t>
  </si>
  <si>
    <t>978-5-00139-839-4</t>
  </si>
  <si>
    <t>Географ глобус пропил</t>
  </si>
  <si>
    <t>NNP2410042-P</t>
  </si>
  <si>
    <t>978-5-00139-503-4</t>
  </si>
  <si>
    <t>Харрисон Мишель</t>
  </si>
  <si>
    <t>Другая Элис</t>
  </si>
  <si>
    <t>ADH2212016-P</t>
  </si>
  <si>
    <t>978-5-9614-7677-4</t>
  </si>
  <si>
    <t>Омар Мария</t>
  </si>
  <si>
    <t>Мёд и немного полыни</t>
  </si>
  <si>
    <t>ZGZ2405071-P</t>
  </si>
  <si>
    <t>978-601-7147-82-2</t>
  </si>
  <si>
    <t>Панов Вадим</t>
  </si>
  <si>
    <t>Непревзойденные. Звезда забвения</t>
  </si>
  <si>
    <t>ADH2209169-P</t>
  </si>
  <si>
    <t>978-5-9614-8344-4</t>
  </si>
  <si>
    <t>Манойло Екатерина</t>
  </si>
  <si>
    <t>Отец смотрит на запад</t>
  </si>
  <si>
    <t>NNP2412079-P</t>
  </si>
  <si>
    <t>978-5-00139-732-8</t>
  </si>
  <si>
    <t>[покет-серия] Отец смотрит на запад</t>
  </si>
  <si>
    <t>NNP2310001-P</t>
  </si>
  <si>
    <t>978-5-00223-160-7</t>
  </si>
  <si>
    <t>Проза в кармане</t>
  </si>
  <si>
    <t>Орловский  Виктор</t>
  </si>
  <si>
    <t>Счастье творческого поиска. Музыка слов и мыслей</t>
  </si>
  <si>
    <t>PGR2402024-P</t>
  </si>
  <si>
    <t>978-5-206-00331-4</t>
  </si>
  <si>
    <t>Ханипаев Ислам</t>
  </si>
  <si>
    <t>Типа я</t>
  </si>
  <si>
    <t>NNP2303150-P</t>
  </si>
  <si>
    <t>978-5-00139-567-6</t>
  </si>
  <si>
    <t>[в 2-х книгах] Тобол</t>
  </si>
  <si>
    <t>NNP2401017-P</t>
  </si>
  <si>
    <t>978-5-00139-770-0</t>
  </si>
  <si>
    <t>Щепотка магии</t>
  </si>
  <si>
    <t>ADH2205077-P</t>
  </si>
  <si>
    <t>978-5-9614-2996-1</t>
  </si>
  <si>
    <t>ADH2403031-P</t>
  </si>
  <si>
    <t>978-5-9614-9675-8</t>
  </si>
  <si>
    <t>9.02. Русская классическая литература</t>
  </si>
  <si>
    <t>Булгаков Михаил</t>
  </si>
  <si>
    <t>Белая гвардия</t>
  </si>
  <si>
    <t>AAP2212023-P</t>
  </si>
  <si>
    <t>978-5-9614-8528-8</t>
  </si>
  <si>
    <t>Главные книги русской литературы</t>
  </si>
  <si>
    <t>Достоевский Федор</t>
  </si>
  <si>
    <t>Бесы</t>
  </si>
  <si>
    <t>AAP2211279-P</t>
  </si>
  <si>
    <t>978-5-9614-8521-9</t>
  </si>
  <si>
    <t>Пушкин Александр</t>
  </si>
  <si>
    <t>Борис Годунов. Капитанская дочка</t>
  </si>
  <si>
    <t>AAP2211223-P</t>
  </si>
  <si>
    <t>978-5-9614-8483-0</t>
  </si>
  <si>
    <t>Герцен Александр</t>
  </si>
  <si>
    <t>[в 2-х книгах] Былое и думы</t>
  </si>
  <si>
    <t>AAP2212078-P</t>
  </si>
  <si>
    <t>978-5-9614-8553-0</t>
  </si>
  <si>
    <t>Лермонтов Михаил</t>
  </si>
  <si>
    <t>Герой нашего времени</t>
  </si>
  <si>
    <t>AAP2208152-P</t>
  </si>
  <si>
    <t>978-5-9614-8297-3</t>
  </si>
  <si>
    <t>Салтыков-Щедрин Михаил</t>
  </si>
  <si>
    <t>Господа Головлевы</t>
  </si>
  <si>
    <t>AAA2211267-P</t>
  </si>
  <si>
    <t>978-5-9614-8510-3</t>
  </si>
  <si>
    <t>Ильф Илья, Петров Евгений</t>
  </si>
  <si>
    <t>Двенадцать стульев</t>
  </si>
  <si>
    <t>AAP2211216-P</t>
  </si>
  <si>
    <t>978-5-9614-8479-3</t>
  </si>
  <si>
    <t>Тургенев Иван</t>
  </si>
  <si>
    <t>Дворянское гнездо</t>
  </si>
  <si>
    <t>AAP2210005-P</t>
  </si>
  <si>
    <t>978-5-9614-8354-3</t>
  </si>
  <si>
    <t>Толстой Лев</t>
  </si>
  <si>
    <t>Детство. Отрочество. Юность</t>
  </si>
  <si>
    <t>AAP2210065-P</t>
  </si>
  <si>
    <t>978-5-9614-8376-5</t>
  </si>
  <si>
    <t>Евгений Онегин. Повести покойного Ивана Петровича Белкина. Пиковая дама</t>
  </si>
  <si>
    <t>AAP2301047-P</t>
  </si>
  <si>
    <t>978-5-9614-8610-0</t>
  </si>
  <si>
    <t>Тэффи Надежда</t>
  </si>
  <si>
    <t>Забытая Тэффи: О «Титанике», кометах, гадалках, весне и конце света</t>
  </si>
  <si>
    <t>NNP2402131-P</t>
  </si>
  <si>
    <t>978-5-00223-281-9</t>
  </si>
  <si>
    <t>Золотой теленок</t>
  </si>
  <si>
    <t>AAP2302031-P</t>
  </si>
  <si>
    <t>978-5-9614-8666-7</t>
  </si>
  <si>
    <t>Идиот</t>
  </si>
  <si>
    <t>AAP2212022-P</t>
  </si>
  <si>
    <t>978-5-9614-8527-1</t>
  </si>
  <si>
    <t>История одного города</t>
  </si>
  <si>
    <t>AAA2211266-P</t>
  </si>
  <si>
    <t>978-5-9614-8509-7</t>
  </si>
  <si>
    <t>Сологуб Федор</t>
  </si>
  <si>
    <t>Мелкий бес</t>
  </si>
  <si>
    <t>AAP2211278-P</t>
  </si>
  <si>
    <t>978-5-9614-8520-2</t>
  </si>
  <si>
    <t>Гоголь Николай</t>
  </si>
  <si>
    <t>Мертвые души</t>
  </si>
  <si>
    <t>AAP2208158-P</t>
  </si>
  <si>
    <t>978-5-9614-8301-7</t>
  </si>
  <si>
    <t>Замятин Евгений</t>
  </si>
  <si>
    <t>Мы</t>
  </si>
  <si>
    <t>AAP2208153-P</t>
  </si>
  <si>
    <t>978-5-9614-8298-0</t>
  </si>
  <si>
    <t xml:space="preserve"> Газданов Гайто</t>
  </si>
  <si>
    <t>Ночные дороги. Возвращение. Будды Великий музыкант [сборник]</t>
  </si>
  <si>
    <t>NNP2402079-P</t>
  </si>
  <si>
    <t>978-5-00223-273-4</t>
  </si>
  <si>
    <t>Гончаров Иван</t>
  </si>
  <si>
    <t>Обломов</t>
  </si>
  <si>
    <t>AAP2208159-P</t>
  </si>
  <si>
    <t>978-5-9614-8302-4</t>
  </si>
  <si>
    <t>Розанов Василий</t>
  </si>
  <si>
    <t>Опавшие листья</t>
  </si>
  <si>
    <t>AAP2211268-P</t>
  </si>
  <si>
    <t>978-5-9614-8511-0</t>
  </si>
  <si>
    <t>Белый Андрей</t>
  </si>
  <si>
    <t>Петербург</t>
  </si>
  <si>
    <t>AAP2210034-P</t>
  </si>
  <si>
    <t>978-5-9614-8365-9</t>
  </si>
  <si>
    <t>Радищев Александр</t>
  </si>
  <si>
    <t>Путешествие из Петербурга в Москву</t>
  </si>
  <si>
    <t>AAP2301045-P</t>
  </si>
  <si>
    <t>978-5-9614-8609-4</t>
  </si>
  <si>
    <t>Щербинина Юлия</t>
  </si>
  <si>
    <t>Читательский билет: Литературное путешествие по миру отечественных буквоедов, книготорговцев и библиофилов</t>
  </si>
  <si>
    <t>NNP2501189-P</t>
  </si>
  <si>
    <t>978-5-00223-368-7</t>
  </si>
  <si>
    <t>9.03. Русская современная проза</t>
  </si>
  <si>
    <t>[покет-серия]  Сердце пармы</t>
  </si>
  <si>
    <t>NNP2411080-P</t>
  </si>
  <si>
    <t>978-5-00139-949-0</t>
  </si>
  <si>
    <t>Пепперштейн Павел, Ануфриев Сергей</t>
  </si>
  <si>
    <t>[2 тома] Мифогенная любовь каст</t>
  </si>
  <si>
    <t>NNP2112192-P</t>
  </si>
  <si>
    <t>978-5-00139-652-9</t>
  </si>
  <si>
    <t>Лимонов Эдуард</t>
  </si>
  <si>
    <t>316, пункт "В"</t>
  </si>
  <si>
    <t>NNP2111310-P</t>
  </si>
  <si>
    <t>978-5-00139-632-1</t>
  </si>
  <si>
    <t>Постнов Олег</t>
  </si>
  <si>
    <t>Антиквар. Повести и рассказы</t>
  </si>
  <si>
    <t>NNP2303027-P</t>
  </si>
  <si>
    <t>978-5-00223-075-4</t>
  </si>
  <si>
    <t>Пепперштейн Павел</t>
  </si>
  <si>
    <t>Бархатная кибитка</t>
  </si>
  <si>
    <t>NNP2201184-P</t>
  </si>
  <si>
    <t>978-5-00139-671-0</t>
  </si>
  <si>
    <t>Джафаров Рагим</t>
  </si>
  <si>
    <t>Башня тишины</t>
  </si>
  <si>
    <t>NNP2408103-P</t>
  </si>
  <si>
    <t>978-5-00223-463-9</t>
  </si>
  <si>
    <t>Блуда и МУДО</t>
  </si>
  <si>
    <t>NNP2302163-P</t>
  </si>
  <si>
    <t>978-5-00139-502-7</t>
  </si>
  <si>
    <t>[покет-серия] Блуда и МУДО</t>
  </si>
  <si>
    <t>NNP2307049-P</t>
  </si>
  <si>
    <t>978-5-00223-090-7</t>
  </si>
  <si>
    <t>Блуждающее время</t>
  </si>
  <si>
    <t>NNP2103081-P</t>
  </si>
  <si>
    <t>978-5-00139-474-7</t>
  </si>
  <si>
    <t>[покет-серия] Большая Суета</t>
  </si>
  <si>
    <t>NNP2307007-P</t>
  </si>
  <si>
    <t>978-5-00223-080-8</t>
  </si>
  <si>
    <t>Бретёр</t>
  </si>
  <si>
    <t>NNP2310071-P</t>
  </si>
  <si>
    <t>978-5-00139-990-2</t>
  </si>
  <si>
    <t>Исторический детектив</t>
  </si>
  <si>
    <t>В Сырах: Роман в промзоне</t>
  </si>
  <si>
    <t>NNP2111311-P</t>
  </si>
  <si>
    <t>978-5-00139-633-8</t>
  </si>
  <si>
    <t>Вдруг охотник выбегает</t>
  </si>
  <si>
    <t>NNP2303081-P</t>
  </si>
  <si>
    <t>978-5-00223-087-7</t>
  </si>
  <si>
    <t>Ветер уносит мертвые листья</t>
  </si>
  <si>
    <t>NNP2411096-P</t>
  </si>
  <si>
    <t>978-5-00223-042-6</t>
  </si>
  <si>
    <t>Кириллова Оксана</t>
  </si>
  <si>
    <t>Виланд</t>
  </si>
  <si>
    <t>NNP2407236-P</t>
  </si>
  <si>
    <t>978-5-00223-073-0</t>
  </si>
  <si>
    <t>Кремчуков Евгений</t>
  </si>
  <si>
    <t>Волшебный хор</t>
  </si>
  <si>
    <t>NNP2403047-P</t>
  </si>
  <si>
    <t>978-5-00139-796-0</t>
  </si>
  <si>
    <t>Попова Елена</t>
  </si>
  <si>
    <t>Восьмидесятый градус</t>
  </si>
  <si>
    <t>NNP2311083-P</t>
  </si>
  <si>
    <t>978-5-00223-217-8</t>
  </si>
  <si>
    <t>Шаргунов Сергей, Садулаев Герман, Снегирёв Александр, Иличевский Александр, Рубанов Андрей, Веркин Эдуард , Пелевин Александр, Сальников Алексей, Захаров Дмитрий , Букша  Ксения, Панов Вадим, Ганиева Алиса, Драгунский Денис</t>
  </si>
  <si>
    <t>Время вышло: Современная русская антиутопия</t>
  </si>
  <si>
    <t>NNP2105106-P</t>
  </si>
  <si>
    <t>978-5-00139-559-1</t>
  </si>
  <si>
    <t>Гритт Марго</t>
  </si>
  <si>
    <t>Вторжение</t>
  </si>
  <si>
    <t>NNP2206157-P</t>
  </si>
  <si>
    <t>978-5-00139-774-8</t>
  </si>
  <si>
    <t>[покет-серия] Географ глобус пропил</t>
  </si>
  <si>
    <t>NNP2411162-P</t>
  </si>
  <si>
    <t>978-5-00139-948-3</t>
  </si>
  <si>
    <t>Декабрев Рома</t>
  </si>
  <si>
    <t>Гнездо синицы</t>
  </si>
  <si>
    <t>NNP2210105-P</t>
  </si>
  <si>
    <t>978-5-00139-863-9</t>
  </si>
  <si>
    <t>Богатырёва Татьяна</t>
  </si>
  <si>
    <t>Говори</t>
  </si>
  <si>
    <t>NNP2309251-P</t>
  </si>
  <si>
    <t>978-5-00223-151-5</t>
  </si>
  <si>
    <t>Лукьянов Дмитрий</t>
  </si>
  <si>
    <t>Год в Чувашии</t>
  </si>
  <si>
    <t>NNP2404170-P</t>
  </si>
  <si>
    <t>978-5-00223-358-8</t>
  </si>
  <si>
    <t>Дальний Лог: Уральские рассказы</t>
  </si>
  <si>
    <t>NNP2404048-P</t>
  </si>
  <si>
    <t>978-5-00223-338-0</t>
  </si>
  <si>
    <t>Клиновская Айгуль</t>
  </si>
  <si>
    <t>Дата С. Когда жизнь начинается заново</t>
  </si>
  <si>
    <t>ZGR2404177-P</t>
  </si>
  <si>
    <t>978-601-81159-1-2</t>
  </si>
  <si>
    <t>Воронцов Эльдар</t>
  </si>
  <si>
    <t>Дело было в Алматы, или Алмазные двери</t>
  </si>
  <si>
    <t>ZGZ2502011-P</t>
  </si>
  <si>
    <t>978-601-82102-8-0</t>
  </si>
  <si>
    <t>Харт Уна</t>
  </si>
  <si>
    <t>Дети в гараже моего папы</t>
  </si>
  <si>
    <t>NNP2405022-P</t>
  </si>
  <si>
    <t>978-5-00223-171-3</t>
  </si>
  <si>
    <t>[покет-серия] Дневник неудачника, или Секретная тетрадь</t>
  </si>
  <si>
    <t>NNP2412218-P</t>
  </si>
  <si>
    <t>978-5-00139-931-5</t>
  </si>
  <si>
    <t>Побяржина Хелена</t>
  </si>
  <si>
    <t>Другие ноты</t>
  </si>
  <si>
    <t>NNP2311079-P</t>
  </si>
  <si>
    <t>978-5-00223-300-7</t>
  </si>
  <si>
    <t>Другой</t>
  </si>
  <si>
    <t>NNP2103210-P</t>
  </si>
  <si>
    <t>978-5-00139-554-6</t>
  </si>
  <si>
    <t>[обложка] Его последние дни</t>
  </si>
  <si>
    <t>NNP2311085-P</t>
  </si>
  <si>
    <t>978-5-00223-218-5</t>
  </si>
  <si>
    <t>Медведев Владимир</t>
  </si>
  <si>
    <t>Заххок</t>
  </si>
  <si>
    <t>NNP2411092-P</t>
  </si>
  <si>
    <t>978-5-00223-154-6</t>
  </si>
  <si>
    <t>Зелёное удостоверение епископа, сложенное вдвое: Стихотворения</t>
  </si>
  <si>
    <t>NNP2303208-P</t>
  </si>
  <si>
    <t>978-5-00223-003-7</t>
  </si>
  <si>
    <t>Золото бунта</t>
  </si>
  <si>
    <t>NNP2407100-P</t>
  </si>
  <si>
    <t>978-5-00139-504-1</t>
  </si>
  <si>
    <t>[покет-серия] Золото бунта</t>
  </si>
  <si>
    <t>NNP2410088-P</t>
  </si>
  <si>
    <t>978-5-00223-091-4</t>
  </si>
  <si>
    <t>Инспекция. Число Ревекки</t>
  </si>
  <si>
    <t>NNP2402044-P</t>
  </si>
  <si>
    <t>978-5-00223-270-3</t>
  </si>
  <si>
    <t>Иличевский Александр</t>
  </si>
  <si>
    <t>Исландия</t>
  </si>
  <si>
    <t>NNP2103231-P</t>
  </si>
  <si>
    <t>978-5-00139-518-8</t>
  </si>
  <si>
    <t>Исход</t>
  </si>
  <si>
    <t>NNP2407050-P</t>
  </si>
  <si>
    <t>978-5-00223-411-0</t>
  </si>
  <si>
    <t>Шалашова Александра</t>
  </si>
  <si>
    <t>Камни поют</t>
  </si>
  <si>
    <t>NNP2302118-P</t>
  </si>
  <si>
    <t>978-5-00139-983-4</t>
  </si>
  <si>
    <t>[обложка] Картахена</t>
  </si>
  <si>
    <t>NNP2403046-P</t>
  </si>
  <si>
    <t>978-5-00223-302-1</t>
  </si>
  <si>
    <t>Картина Сархана</t>
  </si>
  <si>
    <t>NFP2302116-P</t>
  </si>
  <si>
    <t>978-5-00139-982-7</t>
  </si>
  <si>
    <t>Захаров Дмитрий</t>
  </si>
  <si>
    <t>Кластер</t>
  </si>
  <si>
    <t>NNP2403235-P</t>
  </si>
  <si>
    <t>978-5-00223-324-3</t>
  </si>
  <si>
    <t>Книга воды</t>
  </si>
  <si>
    <t>NNP2205117-P</t>
  </si>
  <si>
    <t>978-5-00139-627-7</t>
  </si>
  <si>
    <t>Книга мёртвых — 2. Некрологи</t>
  </si>
  <si>
    <t>NNP2211153-P</t>
  </si>
  <si>
    <t>978-5-00139-915-5</t>
  </si>
  <si>
    <t>Секисов Антон</t>
  </si>
  <si>
    <t>Комната Вагинова</t>
  </si>
  <si>
    <t>NNP2410176-P</t>
  </si>
  <si>
    <t>978-5-00223-060-0</t>
  </si>
  <si>
    <t>Комьюнити</t>
  </si>
  <si>
    <t>NNP2102230-P</t>
  </si>
  <si>
    <t>978-5-00139-506-5</t>
  </si>
  <si>
    <t>[покет-серия] Комьюнити</t>
  </si>
  <si>
    <t>NNP2311233-P</t>
  </si>
  <si>
    <t>978-5-00223-230-7</t>
  </si>
  <si>
    <t>Петрушевская Людмила</t>
  </si>
  <si>
    <t>Королева Лир. Чудесные истории</t>
  </si>
  <si>
    <t>NNP2111004-P</t>
  </si>
  <si>
    <t>978-5-00139-612-3</t>
  </si>
  <si>
    <t>Птицева Ольга</t>
  </si>
  <si>
    <t>Край чудес</t>
  </si>
  <si>
    <t>NNP2412216-P</t>
  </si>
  <si>
    <t>978-5-00223-420-2</t>
  </si>
  <si>
    <t>Красные блокноты Кристины</t>
  </si>
  <si>
    <t>NNP2305034-P</t>
  </si>
  <si>
    <t>978-5-00223-044-0</t>
  </si>
  <si>
    <t>Крылья ужаса</t>
  </si>
  <si>
    <t>NNP2103209-P</t>
  </si>
  <si>
    <t>978-5-00139-555-3</t>
  </si>
  <si>
    <t>Курорт</t>
  </si>
  <si>
    <t>NNP2403146-P</t>
  </si>
  <si>
    <t>978-5-00223-310-6</t>
  </si>
  <si>
    <t>Легкое дыхание</t>
  </si>
  <si>
    <t>NNP2501187-P</t>
  </si>
  <si>
    <t>978-5-00223-098-3</t>
  </si>
  <si>
    <t>Летоисчисление от Иоанна</t>
  </si>
  <si>
    <t>NNP2201121-P</t>
  </si>
  <si>
    <t>978-5-00139-701-4</t>
  </si>
  <si>
    <t>[покет-серия] Летоисчисление от Иоанна</t>
  </si>
  <si>
    <t>NNP2307149-P</t>
  </si>
  <si>
    <t>978-5-00223-108-9</t>
  </si>
  <si>
    <t>Буржская Ксения</t>
  </si>
  <si>
    <t>Литораль</t>
  </si>
  <si>
    <t>NNP2404027-P</t>
  </si>
  <si>
    <t>978-5-00223-334-2</t>
  </si>
  <si>
    <t>Болдин Дмитрий</t>
  </si>
  <si>
    <t>[обложка с клапанами] Лишний</t>
  </si>
  <si>
    <t>SAA2304175-P</t>
  </si>
  <si>
    <t>978-5-00216-052-5</t>
  </si>
  <si>
    <t>Строки. Crime</t>
  </si>
  <si>
    <t>Марк и Эзра 2.0</t>
  </si>
  <si>
    <t>NNP2408050-P</t>
  </si>
  <si>
    <t>978-5-00139-707-6</t>
  </si>
  <si>
    <t>Яковлева Юлия, Ханипаев Ислам, Сальников Алексей, Джафаров Рагим, Побяржина Хелена, Шалашова Александра, Благова Даша, Буржская Ксения, Матвеева Анна,  Толстая Татьяна , Вагнер Яна, Гритт Марго, Захаров Дмитрий, Некрасова  Евгения, Идиатуллин Шамиль</t>
  </si>
  <si>
    <t>Механическое вмешательство. 15 рассказов, написанных вместе с Алисой на YandexGPT</t>
  </si>
  <si>
    <t>NNP2403008-P</t>
  </si>
  <si>
    <t>978-5-00223-296-3</t>
  </si>
  <si>
    <t>Мир и хохот</t>
  </si>
  <si>
    <t>NNP2103080-P</t>
  </si>
  <si>
    <t>978-5-00139-473-0</t>
  </si>
  <si>
    <t>Идиатуллин Шамиль</t>
  </si>
  <si>
    <t>Мировая</t>
  </si>
  <si>
    <t>NNP2407226-P</t>
  </si>
  <si>
    <t>978-5-91671-973-4</t>
  </si>
  <si>
    <t>Молодой негодяй</t>
  </si>
  <si>
    <t>NNP2103087-P</t>
  </si>
  <si>
    <t>978-5-00139-525-6</t>
  </si>
  <si>
    <t xml:space="preserve"> Маиловская Кристина</t>
  </si>
  <si>
    <t>На улице Дыбенко</t>
  </si>
  <si>
    <t>NNP2412078-P</t>
  </si>
  <si>
    <t>978-5-00223-267-3</t>
  </si>
  <si>
    <t>На этом свете: Рассказы</t>
  </si>
  <si>
    <t>NNP2204166-P</t>
  </si>
  <si>
    <t>978-5-00139-734-2</t>
  </si>
  <si>
    <t>[покет-серия] На этом свете: Рассказы</t>
  </si>
  <si>
    <t>NNP2311030-P</t>
  </si>
  <si>
    <t>978-5-00223-207-9</t>
  </si>
  <si>
    <t>Нашествие</t>
  </si>
  <si>
    <t>NNP2204162-P</t>
  </si>
  <si>
    <t>978-5-00139-731-1</t>
  </si>
  <si>
    <t>[покет-серия] Нашествие</t>
  </si>
  <si>
    <t>NNP2303218-P</t>
  </si>
  <si>
    <t>978-5-00223-007-5</t>
  </si>
  <si>
    <t>Белодед Игорь</t>
  </si>
  <si>
    <t>Не говори о нём. Повести</t>
  </si>
  <si>
    <t>NFP2209043-P</t>
  </si>
  <si>
    <t>978-5-00139-842-4</t>
  </si>
  <si>
    <t>Небо в алмазах</t>
  </si>
  <si>
    <t>NNP2303083-P</t>
  </si>
  <si>
    <t>978-5-91671-359-6</t>
  </si>
  <si>
    <t>Ненастье</t>
  </si>
  <si>
    <t>NNP2404214-P</t>
  </si>
  <si>
    <t>978-5-00139-702-1</t>
  </si>
  <si>
    <t>[покет-серия] Ненастье</t>
  </si>
  <si>
    <t>NNP2307145-P</t>
  </si>
  <si>
    <t>978-5-00223-095-2</t>
  </si>
  <si>
    <t>Общага-на-Крови</t>
  </si>
  <si>
    <t>NNP2106105-P</t>
  </si>
  <si>
    <t>978-5-00139-516-4</t>
  </si>
  <si>
    <t>Мещанинова Наталия</t>
  </si>
  <si>
    <t>Один маленький ночной секрет</t>
  </si>
  <si>
    <t>NNP2309256-P</t>
  </si>
  <si>
    <t>978-5-00223-156-0</t>
  </si>
  <si>
    <t>Одинокое путешествие накануне зимы</t>
  </si>
  <si>
    <t>NNP2501116-P</t>
  </si>
  <si>
    <t>978-5-00139-736-6</t>
  </si>
  <si>
    <t>Одиночка</t>
  </si>
  <si>
    <t>NNP2211128-P</t>
  </si>
  <si>
    <t>978-5-00139-913-1</t>
  </si>
  <si>
    <t>Отрошенко Владислав</t>
  </si>
  <si>
    <t>Околицы Вавилона</t>
  </si>
  <si>
    <t>NNP2308048-P</t>
  </si>
  <si>
    <t>978-5-00139-733-5</t>
  </si>
  <si>
    <t>Остров, или Оправдание бессмысленных путешествий</t>
  </si>
  <si>
    <t>NNP2302119-P</t>
  </si>
  <si>
    <t>978-5-00139-984-1</t>
  </si>
  <si>
    <t xml:space="preserve"> Султан Алтынай</t>
  </si>
  <si>
    <t>Отслойка</t>
  </si>
  <si>
    <t>NNP2312220-P</t>
  </si>
  <si>
    <t>978-5-00223-249-9</t>
  </si>
  <si>
    <t>Баснер Анна</t>
  </si>
  <si>
    <t>Парадокс Тесея</t>
  </si>
  <si>
    <t>NNP2312042-P</t>
  </si>
  <si>
    <t>978-5-00223-232-1</t>
  </si>
  <si>
    <t>Песнь о Сиде</t>
  </si>
  <si>
    <t>NNP2311232-P</t>
  </si>
  <si>
    <t>978-5-00223-229-1</t>
  </si>
  <si>
    <t>Нижельская Ольга</t>
  </si>
  <si>
    <t>Пианисты</t>
  </si>
  <si>
    <t>NNP2401077-P</t>
  </si>
  <si>
    <t>978-5-00223-257-4</t>
  </si>
  <si>
    <t>Климова Таня</t>
  </si>
  <si>
    <t>Письма к отцу</t>
  </si>
  <si>
    <t>NNP2312145-P</t>
  </si>
  <si>
    <t>978-5-00223-244-4</t>
  </si>
  <si>
    <t>Сорока Вера</t>
  </si>
  <si>
    <t>Питерские монстры: Роман в рассказах</t>
  </si>
  <si>
    <t>NNP2405028-P</t>
  </si>
  <si>
    <t>978-5-00223-099-0</t>
  </si>
  <si>
    <t>Побег куманики</t>
  </si>
  <si>
    <t>NNP2206158-P</t>
  </si>
  <si>
    <t>978-5-00139-775-5</t>
  </si>
  <si>
    <t>Демишкевич Ася</t>
  </si>
  <si>
    <t>Под рекой</t>
  </si>
  <si>
    <t>NNP2309252-P</t>
  </si>
  <si>
    <t>978-5-00223-152-2</t>
  </si>
  <si>
    <t>Под синим солнцем</t>
  </si>
  <si>
    <t>NNP2406176-P</t>
  </si>
  <si>
    <t>978-5-00223-404-2</t>
  </si>
  <si>
    <t>После конца</t>
  </si>
  <si>
    <t>NFP2303080-P</t>
  </si>
  <si>
    <t>978-5-00223-086-0</t>
  </si>
  <si>
    <t xml:space="preserve"> Газизов Ринат</t>
  </si>
  <si>
    <t>Приглашение к любви</t>
  </si>
  <si>
    <t>NNP2405094-P</t>
  </si>
  <si>
    <t>978-5-00223-383-0</t>
  </si>
  <si>
    <t>Джао Да Владимир</t>
  </si>
  <si>
    <t>Приключения китайского летчика Джао Да</t>
  </si>
  <si>
    <t>PGR2406182-P</t>
  </si>
  <si>
    <t>978-5-206-00379-6</t>
  </si>
  <si>
    <t>[покет-серия] Псоглавцы</t>
  </si>
  <si>
    <t>NNP2307146-P</t>
  </si>
  <si>
    <t>978-5-00223-096-9</t>
  </si>
  <si>
    <t>Пестерева Анна</t>
  </si>
  <si>
    <t>Пятно</t>
  </si>
  <si>
    <t>NNP2412062-P</t>
  </si>
  <si>
    <t>978-5-00223-359-5</t>
  </si>
  <si>
    <t>Селуков Павел</t>
  </si>
  <si>
    <t>Рагнарёк, или Попытка присвоить мир</t>
  </si>
  <si>
    <t>NNP2212168-P</t>
  </si>
  <si>
    <t>978-5-00139-937-7</t>
  </si>
  <si>
    <t>[обложка] Радин</t>
  </si>
  <si>
    <t>NNP2305143-P</t>
  </si>
  <si>
    <t>978-5-00223-053-2</t>
  </si>
  <si>
    <t>Раз мальчишка, два мальчишка</t>
  </si>
  <si>
    <t>NNP2412164-P</t>
  </si>
  <si>
    <t>978-5-00223-240-6</t>
  </si>
  <si>
    <t>Салюты на той стороне</t>
  </si>
  <si>
    <t>NNP2210216-P</t>
  </si>
  <si>
    <t>978-5-00139-887-5</t>
  </si>
  <si>
    <t>Сато</t>
  </si>
  <si>
    <t>NNP2203080-P</t>
  </si>
  <si>
    <t>978-5-00139-708-3</t>
  </si>
  <si>
    <t>[покет-серия] Сато</t>
  </si>
  <si>
    <t>NNP2307006-P</t>
  </si>
  <si>
    <t>978-5-00223-079-2</t>
  </si>
  <si>
    <t>Старобинец Анна</t>
  </si>
  <si>
    <t>[обложка с клапанами] Серебряный Ашолотль. Рассказы</t>
  </si>
  <si>
    <t>SAS2308184-P</t>
  </si>
  <si>
    <t>978-5-00216-098-3</t>
  </si>
  <si>
    <t>Строки. Анна Старобинец</t>
  </si>
  <si>
    <t>Минкина-Тайчер Елена</t>
  </si>
  <si>
    <t>[обложка с клапанами] Синдром разбитого сердца</t>
  </si>
  <si>
    <t>SAS2310207-P</t>
  </si>
  <si>
    <t>978-5-00216-045-7</t>
  </si>
  <si>
    <t>Строки. Елена Минкина-Тайчер</t>
  </si>
  <si>
    <t>Скитания</t>
  </si>
  <si>
    <t>NNP2204165-P</t>
  </si>
  <si>
    <t>978-5-00139-735-9</t>
  </si>
  <si>
    <t>Шипилова Анна</t>
  </si>
  <si>
    <t>Скоро Москва</t>
  </si>
  <si>
    <t>NNP2309253-P</t>
  </si>
  <si>
    <t>978-5-00223-153-9</t>
  </si>
  <si>
    <t>Случай в Москве</t>
  </si>
  <si>
    <t>NNP2305033-P</t>
  </si>
  <si>
    <t>978-5-00223-043-3</t>
  </si>
  <si>
    <t>Смерть современных героев</t>
  </si>
  <si>
    <t>NNP2103091-P</t>
  </si>
  <si>
    <t>978-5-00139-509-6</t>
  </si>
  <si>
    <t>Семеляк Максим</t>
  </si>
  <si>
    <t>Средняя продолжительность жизни</t>
  </si>
  <si>
    <t>NNP2412215-P</t>
  </si>
  <si>
    <t>978-5-00223-328-1</t>
  </si>
  <si>
    <t>Страх</t>
  </si>
  <si>
    <t>NNP2204169-P</t>
  </si>
  <si>
    <t>978-5-00139-738-0</t>
  </si>
  <si>
    <t>Таинственная невеста</t>
  </si>
  <si>
    <t>NNP2310072-P</t>
  </si>
  <si>
    <t>978-5-00223-071-6</t>
  </si>
  <si>
    <t>Лидский Владимир</t>
  </si>
  <si>
    <t>Тёмная Лида: Повести и рассказы</t>
  </si>
  <si>
    <t>NNP2302115-P</t>
  </si>
  <si>
    <t>978-5-00139-981-0</t>
  </si>
  <si>
    <t>Саттаров Эльдар</t>
  </si>
  <si>
    <t>Теряя наши улицы</t>
  </si>
  <si>
    <t>NNP2404120-P</t>
  </si>
  <si>
    <t>978-5-00223-350-2</t>
  </si>
  <si>
    <t>Благова Даша</t>
  </si>
  <si>
    <t>Течения</t>
  </si>
  <si>
    <t>NNP2308095-P</t>
  </si>
  <si>
    <t>978-5-00223-123-2</t>
  </si>
  <si>
    <t>[покет-серия] Типа я</t>
  </si>
  <si>
    <t>NNP2303220-P</t>
  </si>
  <si>
    <t>978-5-00223-008-2</t>
  </si>
  <si>
    <t>[покет-серия] Тобол [в 2-х книгах]</t>
  </si>
  <si>
    <t>NNP2411093-P</t>
  </si>
  <si>
    <t>978-5-00223-097-6</t>
  </si>
  <si>
    <t>Точка росы: Повести и рассказы</t>
  </si>
  <si>
    <t>NNP2109139-P</t>
  </si>
  <si>
    <t>978-5-00139-580-5</t>
  </si>
  <si>
    <t>Осокин Денис</t>
  </si>
  <si>
    <t>Уключина</t>
  </si>
  <si>
    <t>NNP2305030-P</t>
  </si>
  <si>
    <t>978-5-00223-040-2</t>
  </si>
  <si>
    <t>Укрощение красного коня</t>
  </si>
  <si>
    <t>NNP2303082-P</t>
  </si>
  <si>
    <t>978-5-91671-358-9</t>
  </si>
  <si>
    <t>Утро было глазом</t>
  </si>
  <si>
    <t>NNP2307064-P</t>
  </si>
  <si>
    <t>978-5-00223-100-3</t>
  </si>
  <si>
    <t>Фаюм</t>
  </si>
  <si>
    <t>NNP2401023-P</t>
  </si>
  <si>
    <t>978-5-00223-252-9</t>
  </si>
  <si>
    <t>Холодные глаза</t>
  </si>
  <si>
    <t>NNP2302087-P</t>
  </si>
  <si>
    <t>978-5-00139-622-2</t>
  </si>
  <si>
    <t>[покет-серия] Холодные глаза</t>
  </si>
  <si>
    <t>NNP2303195-P</t>
  </si>
  <si>
    <t>978-5-00223-000-6</t>
  </si>
  <si>
    <t>Хороший братец — мертвый братец</t>
  </si>
  <si>
    <t>NNP2309255-P</t>
  </si>
  <si>
    <t>978-5-00223-155-3</t>
  </si>
  <si>
    <t>Лукшина Юлия</t>
  </si>
  <si>
    <t>Хрустальный дом</t>
  </si>
  <si>
    <t>NNP2409049-P</t>
  </si>
  <si>
    <t>978-5-00223-477-6</t>
  </si>
  <si>
    <t>Царь велел тебя повесить</t>
  </si>
  <si>
    <t>NFP2302216-P</t>
  </si>
  <si>
    <t>978-5-00139-991-9</t>
  </si>
  <si>
    <t>Центр тяжести</t>
  </si>
  <si>
    <t>NNP2411094-P</t>
  </si>
  <si>
    <t>978-5-00139-841-7</t>
  </si>
  <si>
    <t>Чёрное пальто. Страшные случаи</t>
  </si>
  <si>
    <t>NNP2109013-P</t>
  </si>
  <si>
    <t>978-5-00139-569-0</t>
  </si>
  <si>
    <t>[покет-серия] Чёрное пальто. Страшные случаи</t>
  </si>
  <si>
    <t>NNP2211210-P</t>
  </si>
  <si>
    <t>978-5-00139-928-5</t>
  </si>
  <si>
    <t>Харитонова Ольга</t>
  </si>
  <si>
    <t>Чужая сторона</t>
  </si>
  <si>
    <t>NNP2406086-P</t>
  </si>
  <si>
    <t>978-5-00223-397-7</t>
  </si>
  <si>
    <t>Чужеродные</t>
  </si>
  <si>
    <t>NNP2404147-P</t>
  </si>
  <si>
    <t>978-5-00223-354-0</t>
  </si>
  <si>
    <t>Шатуны</t>
  </si>
  <si>
    <t>NNP2405168-P</t>
  </si>
  <si>
    <t>978-5-00139-519-5</t>
  </si>
  <si>
    <t>[покет-серия] Шатуны</t>
  </si>
  <si>
    <t>NNP2411078-P</t>
  </si>
  <si>
    <t>978-5-00139-929-2</t>
  </si>
  <si>
    <t>Лукиянова Анна</t>
  </si>
  <si>
    <t>Это не лечится</t>
  </si>
  <si>
    <t>NNP2307082-P</t>
  </si>
  <si>
    <t>978-5-00139-791-5</t>
  </si>
  <si>
    <t>[обложка с клапанами] Эффект Ребиндера</t>
  </si>
  <si>
    <t>SAS2311257-P</t>
  </si>
  <si>
    <t>978-5-00216-042-6</t>
  </si>
  <si>
    <t>9.04. Зарубежная классическая проза</t>
  </si>
  <si>
    <t>[покет] 1984 (новый перевод)</t>
  </si>
  <si>
    <t>AAP2410017-P</t>
  </si>
  <si>
    <t>978-5-9614-8080-1</t>
  </si>
  <si>
    <t>[3 тома в одной книге] Атлант расправил плечи</t>
  </si>
  <si>
    <t>AAP2501046-P</t>
  </si>
  <si>
    <t>978-5-9614-6859-5</t>
  </si>
  <si>
    <t>[2 тома в одной книге] Источник</t>
  </si>
  <si>
    <t>AAP2412185-P</t>
  </si>
  <si>
    <t>978-5-9614-6777-2</t>
  </si>
  <si>
    <t>Кафка Франц</t>
  </si>
  <si>
    <t>Процесс</t>
  </si>
  <si>
    <t>AAP2407180-P</t>
  </si>
  <si>
    <t>978-5-0063-0040-8</t>
  </si>
  <si>
    <t>9.05. Зарубежная современная проза</t>
  </si>
  <si>
    <t>Гудрич Хэдди</t>
  </si>
  <si>
    <t>[обложка с клапанами] Американка</t>
  </si>
  <si>
    <t>SAS2405088-P</t>
  </si>
  <si>
    <t>978-5-00216-216-1</t>
  </si>
  <si>
    <t>Строки. Elure</t>
  </si>
  <si>
    <t>Мэй Никки</t>
  </si>
  <si>
    <t>[обложка с клапанами] Беда</t>
  </si>
  <si>
    <t>SAA2209069-P</t>
  </si>
  <si>
    <t>978-5-907625-08-2</t>
  </si>
  <si>
    <t>Тонг Куонг Валери</t>
  </si>
  <si>
    <t>Бей. Беги. Замри</t>
  </si>
  <si>
    <t>ABB2402216-P</t>
  </si>
  <si>
    <t>978-5-9614-9662-8</t>
  </si>
  <si>
    <t>Диаз  Эрнан</t>
  </si>
  <si>
    <t>[обложка с клапанами] Вдали</t>
  </si>
  <si>
    <t>SAS2405093-P</t>
  </si>
  <si>
    <t>978-5-00216-243-7</t>
  </si>
  <si>
    <t>Строки. Top-Fiction</t>
  </si>
  <si>
    <t>Кернинон Жюлья</t>
  </si>
  <si>
    <t>Высокая кухня</t>
  </si>
  <si>
    <t>ABB2401126-P</t>
  </si>
  <si>
    <t>978-5-9614-9567-6</t>
  </si>
  <si>
    <t>Гурна Абдулразак</t>
  </si>
  <si>
    <t>[обложка с клапанами] Высохшее сердце</t>
  </si>
  <si>
    <t>SAS2311202-P</t>
  </si>
  <si>
    <t>978-5-00216-032-7</t>
  </si>
  <si>
    <t>Гимн</t>
  </si>
  <si>
    <t>AAP2402038-P</t>
  </si>
  <si>
    <t>978-5-9614-6974-5</t>
  </si>
  <si>
    <t>Грасс Гюнтер</t>
  </si>
  <si>
    <t>Глупый август</t>
  </si>
  <si>
    <t>NNP2406157-P</t>
  </si>
  <si>
    <t>978-5-00223-402-8</t>
  </si>
  <si>
    <t>[обложка с клапанами] Доверие</t>
  </si>
  <si>
    <t>SAS2402058-P</t>
  </si>
  <si>
    <t>978-5-00216-009-9</t>
  </si>
  <si>
    <t>Ли Чи</t>
  </si>
  <si>
    <t>[обложка с клапанами] Ее город</t>
  </si>
  <si>
    <t>Пер. с кит.</t>
  </si>
  <si>
    <t>SAS2403172-P</t>
  </si>
  <si>
    <t>978-5-00216-172-0</t>
  </si>
  <si>
    <t>Жестяной барабан</t>
  </si>
  <si>
    <t>NNP2403041-P</t>
  </si>
  <si>
    <t>978-5-00223-072-3</t>
  </si>
  <si>
    <t>Данцигская трилогия</t>
  </si>
  <si>
    <t>Каменная месса</t>
  </si>
  <si>
    <t>NNP2403179-P</t>
  </si>
  <si>
    <t>978-5-00223-318-2</t>
  </si>
  <si>
    <t>Кошки-мышки</t>
  </si>
  <si>
    <t>NNP2303077-P</t>
  </si>
  <si>
    <t>978-5-00223-074-7</t>
  </si>
  <si>
    <t>Мы живые</t>
  </si>
  <si>
    <t>AAA2412024-P</t>
  </si>
  <si>
    <t>978-5-9614-6746-8</t>
  </si>
  <si>
    <t>Кустурица Эмир</t>
  </si>
  <si>
    <t>Мятежный ангел</t>
  </si>
  <si>
    <t>NNP2411062-P</t>
  </si>
  <si>
    <t>978-5-00223-088-4</t>
  </si>
  <si>
    <t>Гримальди Виржини</t>
  </si>
  <si>
    <t>Океан на двоих</t>
  </si>
  <si>
    <t>ABB2404002-P</t>
  </si>
  <si>
    <t>978-5-9614-9739-7</t>
  </si>
  <si>
    <t>Валонь Орели</t>
  </si>
  <si>
    <t>Полет</t>
  </si>
  <si>
    <t>ABB2407013-P</t>
  </si>
  <si>
    <t>978-5-9614-9992-6</t>
  </si>
  <si>
    <t>[обложка с клапанами] Последний дар</t>
  </si>
  <si>
    <t>SAS2311203-P</t>
  </si>
  <si>
    <t>978-5-00216-035-8</t>
  </si>
  <si>
    <t>[переплет] Посмертие</t>
  </si>
  <si>
    <t>SAA2208053-P</t>
  </si>
  <si>
    <t>978-5-907625-03-7</t>
  </si>
  <si>
    <t>Большая проза</t>
  </si>
  <si>
    <t>[обложка с клапанами] Посмертие</t>
  </si>
  <si>
    <t>SAA2208054-P</t>
  </si>
  <si>
    <t>978-5-907625-04-4</t>
  </si>
  <si>
    <t>[переплет] Рай</t>
  </si>
  <si>
    <t>AAA2206038-P_МТС</t>
  </si>
  <si>
    <t>978-5-907625-00-6</t>
  </si>
  <si>
    <t>[обложка с клапанами] Рай</t>
  </si>
  <si>
    <t>AAA2206039-P_МТС</t>
  </si>
  <si>
    <t>978-5-907625-01-3</t>
  </si>
  <si>
    <t>Адамбаева Томирис</t>
  </si>
  <si>
    <t>[не продавать в РК] Симфония праха</t>
  </si>
  <si>
    <t>ZGZ2412044-P</t>
  </si>
  <si>
    <t>978-601-82155-5-1</t>
  </si>
  <si>
    <t>Собачьи годы</t>
  </si>
  <si>
    <t>NNP2303079-P</t>
  </si>
  <si>
    <t>978-5-00223-076-1</t>
  </si>
  <si>
    <t>Рис Франческа</t>
  </si>
  <si>
    <t>Стеклянные дома</t>
  </si>
  <si>
    <t>ABB2401139-P</t>
  </si>
  <si>
    <t>978-5-9614-9569-0</t>
  </si>
  <si>
    <t>Вильяхос Росарио</t>
  </si>
  <si>
    <t>Физическое воспитание</t>
  </si>
  <si>
    <t>ABB2402026-P</t>
  </si>
  <si>
    <t>978-5-9614-9608-6</t>
  </si>
  <si>
    <t>Умригар Трити</t>
  </si>
  <si>
    <t>[обложка с клапанами] Честь</t>
  </si>
  <si>
    <t>SAA2208068-P</t>
  </si>
  <si>
    <t>978-5-907625-07-5</t>
  </si>
  <si>
    <t>9.06. Зарубежная историческая проза</t>
  </si>
  <si>
    <t>Мандзон Федерика</t>
  </si>
  <si>
    <t>Возвращение в Триест</t>
  </si>
  <si>
    <t>ABB2404004-P</t>
  </si>
  <si>
    <t>978-5-9614-9741-0</t>
  </si>
  <si>
    <t>Сабар Кларисса</t>
  </si>
  <si>
    <t>И время остановилось</t>
  </si>
  <si>
    <t>ABB2309211-P</t>
  </si>
  <si>
    <t>978-5-9614-9291-0</t>
  </si>
  <si>
    <t>Коэн  Джошуа</t>
  </si>
  <si>
    <t>[обложка с клапанами] Нетаньяху. Отчет о незначительном и в конечном счете даже неважном эпизоде из жизни очень известной семьи</t>
  </si>
  <si>
    <t>SAS2305100-P</t>
  </si>
  <si>
    <t>978-5-00216-038-9</t>
  </si>
  <si>
    <t>9.07. Зарубежная романтическая проза</t>
  </si>
  <si>
    <t>Лёненс Кристин</t>
  </si>
  <si>
    <t>Вслед за Эмбер</t>
  </si>
  <si>
    <t>ABB2211277-P</t>
  </si>
  <si>
    <t>978-5-9614-8519-6</t>
  </si>
  <si>
    <t>Рувье Софи</t>
  </si>
  <si>
    <t>Желаю нам тысячи гроз</t>
  </si>
  <si>
    <t>ABB2305078-P</t>
  </si>
  <si>
    <t>978-5-9614-8972-9</t>
  </si>
  <si>
    <t>Ди Франча Марозелла , Мастрочинкве Даниэла</t>
  </si>
  <si>
    <t>Женщина, которая жила у моря</t>
  </si>
  <si>
    <t>ABB2302105-P</t>
  </si>
  <si>
    <t>978-5-9614-8693-3</t>
  </si>
  <si>
    <t>Бертола Стефания</t>
  </si>
  <si>
    <t>Завтра ветер переменится</t>
  </si>
  <si>
    <t>ABB2307035-P</t>
  </si>
  <si>
    <t>978-5-9614-9082-4</t>
  </si>
  <si>
    <t>Питцорно Бьянка</t>
  </si>
  <si>
    <t>Интимная жизнь наших предков. Пояснительная записка для моей кузины Лауретты, которой хотелось бы верить, что она родилась в результате партеногенеза</t>
  </si>
  <si>
    <t>ABB2304055-P</t>
  </si>
  <si>
    <t>978-5-9614-8905-7</t>
  </si>
  <si>
    <t>Астраби Софи</t>
  </si>
  <si>
    <t>Кто ты, Билли Притти?</t>
  </si>
  <si>
    <t>ABB2401031-P</t>
  </si>
  <si>
    <t>978-5-9614-9543-0</t>
  </si>
  <si>
    <t>Наблюдатель</t>
  </si>
  <si>
    <t>ABB2501077-P</t>
  </si>
  <si>
    <t>978-5-9614-8688-9</t>
  </si>
  <si>
    <t>Перрон Мелисса</t>
  </si>
  <si>
    <t>По воле Персеид</t>
  </si>
  <si>
    <t>ABB2302117-P</t>
  </si>
  <si>
    <t>978-5-9614-8697-1</t>
  </si>
  <si>
    <t>Пообещай мне весну</t>
  </si>
  <si>
    <t>ABB2310171-P</t>
  </si>
  <si>
    <t>978-5-9614-8695-7</t>
  </si>
  <si>
    <t>Роже Дамьен</t>
  </si>
  <si>
    <t>Почетные арийки</t>
  </si>
  <si>
    <t>ABB2501061-P</t>
  </si>
  <si>
    <t>978-5-9614-8634-6</t>
  </si>
  <si>
    <t>Прекрасная, как река</t>
  </si>
  <si>
    <t>ABB2302154-P</t>
  </si>
  <si>
    <t>978-5-9614-8701-5</t>
  </si>
  <si>
    <t>Риклз Бэт</t>
  </si>
  <si>
    <t>Притворись влюбленной</t>
  </si>
  <si>
    <t>ABB2304201-P</t>
  </si>
  <si>
    <t>978-5-9614-8949-1</t>
  </si>
  <si>
    <t>Стил Эмма</t>
  </si>
  <si>
    <t>Секунда между нами</t>
  </si>
  <si>
    <t>ABB2303069-P</t>
  </si>
  <si>
    <t>978-5-9614-8744-2</t>
  </si>
  <si>
    <t>Делом Хлоя</t>
  </si>
  <si>
    <t>Сердце Аделаиды</t>
  </si>
  <si>
    <t>ABB2310173-P</t>
  </si>
  <si>
    <t>978-5-9614-8607-0</t>
  </si>
  <si>
    <t>Сумма наших жизней</t>
  </si>
  <si>
    <t>ABB2401032-P</t>
  </si>
  <si>
    <t>978-5-9614-9544-7</t>
  </si>
  <si>
    <t>Юон Анн-Гаэль</t>
  </si>
  <si>
    <t>Чем звезды обязаны ночи</t>
  </si>
  <si>
    <t>ABB2212025-P</t>
  </si>
  <si>
    <t>978-5-9614-8530-1</t>
  </si>
  <si>
    <t>Швея с Сардинии</t>
  </si>
  <si>
    <t>ABB2409091-P</t>
  </si>
  <si>
    <t>978-5-9614-8692-6</t>
  </si>
  <si>
    <t>Ледиг Аньес</t>
  </si>
  <si>
    <t>Я возвращаюсь к себе</t>
  </si>
  <si>
    <t>ABB2306041-P</t>
  </si>
  <si>
    <t>978-5-9614-9016-9</t>
  </si>
  <si>
    <t>Фив Кароль</t>
  </si>
  <si>
    <t>Я должна кое-что тебе сказать</t>
  </si>
  <si>
    <t>ABB2310172-P</t>
  </si>
  <si>
    <t>978-5-9614-8542-4</t>
  </si>
  <si>
    <t>Я помню музыку Прованса</t>
  </si>
  <si>
    <t>ABB2410200-P</t>
  </si>
  <si>
    <t>978-5-9614-8533-2</t>
  </si>
  <si>
    <t>9.08. Young Adult</t>
  </si>
  <si>
    <t>13 проклятий</t>
  </si>
  <si>
    <t>ADK2303324-P</t>
  </si>
  <si>
    <t>978-5-9614-8883-8</t>
  </si>
  <si>
    <t>13 секретов</t>
  </si>
  <si>
    <t>ADK2303325-P</t>
  </si>
  <si>
    <t>978-5-9614-8884-5</t>
  </si>
  <si>
    <t>13 сокровищ</t>
  </si>
  <si>
    <t>ADK2303323-P</t>
  </si>
  <si>
    <t>978-5-9614-8882-1</t>
  </si>
  <si>
    <t>Романовская Лариса</t>
  </si>
  <si>
    <t>Брат дракона</t>
  </si>
  <si>
    <t>ADH2210066-P</t>
  </si>
  <si>
    <t>978-5-9614-8377-2</t>
  </si>
  <si>
    <t>Хокинс Финбар</t>
  </si>
  <si>
    <t>Ведьма</t>
  </si>
  <si>
    <t>ADH2209132-P</t>
  </si>
  <si>
    <t>978-5-9614-7361-2</t>
  </si>
  <si>
    <t>ADW2311215-P</t>
  </si>
  <si>
    <t>978-5-9614-9475-4</t>
  </si>
  <si>
    <t>Вихрь колдовства</t>
  </si>
  <si>
    <t>ADH2306037-P</t>
  </si>
  <si>
    <t>978-5-9614-8378-9</t>
  </si>
  <si>
    <t>[обложка] Вихрь колдовства</t>
  </si>
  <si>
    <t>ADH2212204-P</t>
  </si>
  <si>
    <t>978-5-9614-8598-1</t>
  </si>
  <si>
    <t>Фергюсон Мелисса</t>
  </si>
  <si>
    <t>Встречи на полях</t>
  </si>
  <si>
    <t>ADW2411016-P</t>
  </si>
  <si>
    <t>978-5-9614-9447-1</t>
  </si>
  <si>
    <t>[обложка] Горстка волшебства</t>
  </si>
  <si>
    <t>ADH2212202-P</t>
  </si>
  <si>
    <t>978-5-9614-8596-7</t>
  </si>
  <si>
    <t>Горстка волшебства</t>
  </si>
  <si>
    <t>ADH2403032-P</t>
  </si>
  <si>
    <t>978-5-9614-9676-5</t>
  </si>
  <si>
    <t>Мейсон Конрад</t>
  </si>
  <si>
    <t>Девочка в деревянных доспехах</t>
  </si>
  <si>
    <t>ADH2203166-P</t>
  </si>
  <si>
    <t>978-5-9614-7878-5</t>
  </si>
  <si>
    <t>Ши Фэн, Ко Кори</t>
  </si>
  <si>
    <t>Доктор-клоун. Последний шанс сказать "прощай"</t>
  </si>
  <si>
    <t>ADW2409082-P</t>
  </si>
  <si>
    <t>978-5-9614-9142-5</t>
  </si>
  <si>
    <t>Вун Ивонн</t>
  </si>
  <si>
    <t>Если ты, то я</t>
  </si>
  <si>
    <t>ADW2412201-P</t>
  </si>
  <si>
    <t>978-5-9614-9449-5</t>
  </si>
  <si>
    <t>Ллойд-Джонс Эмили</t>
  </si>
  <si>
    <t>Затонувший лес</t>
  </si>
  <si>
    <t>ADH2205161-P</t>
  </si>
  <si>
    <t>978-5-9614-8107-5</t>
  </si>
  <si>
    <t>ADW2312177-P</t>
  </si>
  <si>
    <t>978-5-9614-9515-7</t>
  </si>
  <si>
    <t>Коссантели Вероника</t>
  </si>
  <si>
    <t>Изумительная Страна Снергов</t>
  </si>
  <si>
    <t>ADH2501123-P</t>
  </si>
  <si>
    <t>978-5-9614-4095-9</t>
  </si>
  <si>
    <t>Кромер Ольга</t>
  </si>
  <si>
    <t>Каждый атом</t>
  </si>
  <si>
    <t>ADW2212064-P</t>
  </si>
  <si>
    <t>978-5-9614-8547-9</t>
  </si>
  <si>
    <t>Клубок заклинаний</t>
  </si>
  <si>
    <t>ADH2205078-P</t>
  </si>
  <si>
    <t>978-5-9614-7419-0</t>
  </si>
  <si>
    <t>[обложка] Клубок заклинаний</t>
  </si>
  <si>
    <t>ADH2212203-P</t>
  </si>
  <si>
    <t>978-5-9614-8597-4</t>
  </si>
  <si>
    <t>ADH2403033-P</t>
  </si>
  <si>
    <t>978-5-9614-9677-2</t>
  </si>
  <si>
    <t>Алиага Сильвия</t>
  </si>
  <si>
    <t>Книжный клуб в облаках</t>
  </si>
  <si>
    <t>ADW2409080-P</t>
  </si>
  <si>
    <t>978-5-9614-9246-0</t>
  </si>
  <si>
    <t>Гришина Анна</t>
  </si>
  <si>
    <t>Кулачок</t>
  </si>
  <si>
    <t>ADW2407242-P</t>
  </si>
  <si>
    <t>978-5-9614-8881-4</t>
  </si>
  <si>
    <t>Дариа Алексис</t>
  </si>
  <si>
    <t>Любовь с первой серии</t>
  </si>
  <si>
    <t>ADW2308078-P</t>
  </si>
  <si>
    <t>978-5-9614-9170-8</t>
  </si>
  <si>
    <t>Месропова  Дарья</t>
  </si>
  <si>
    <t>Мама, я съела слона</t>
  </si>
  <si>
    <t>ADW2212159-P</t>
  </si>
  <si>
    <t>978-5-9614-8584-4</t>
  </si>
  <si>
    <t>Летт Яна</t>
  </si>
  <si>
    <t>Мир из прорех. Другой город</t>
  </si>
  <si>
    <t>ADW2312179-P</t>
  </si>
  <si>
    <t>978-5-9614-9517-1</t>
  </si>
  <si>
    <t>Мир из прорех. Иные земли</t>
  </si>
  <si>
    <t>ADW2312180-P</t>
  </si>
  <si>
    <t>978-5-9614-9518-8</t>
  </si>
  <si>
    <t>Мир из прорех. Новые правила</t>
  </si>
  <si>
    <t>ADW2312178-P</t>
  </si>
  <si>
    <t>978-5-9614-9516-4</t>
  </si>
  <si>
    <t>Хо Джоанна</t>
  </si>
  <si>
    <t>Молчание между нами</t>
  </si>
  <si>
    <t>ADW2311146-P</t>
  </si>
  <si>
    <t>978-5-9614-9461-7</t>
  </si>
  <si>
    <t>Моя безупречная жизнь</t>
  </si>
  <si>
    <t>ADW2409081-P</t>
  </si>
  <si>
    <t>978-5-9614-9190-6</t>
  </si>
  <si>
    <t>Элисон Мег</t>
  </si>
  <si>
    <t>Найдите Лейлу</t>
  </si>
  <si>
    <t>ADW2310095-P</t>
  </si>
  <si>
    <t>978-5-9614-9339-9</t>
  </si>
  <si>
    <t>Блум Исаак</t>
  </si>
  <si>
    <t>Невероятное преступление Худи Розена</t>
  </si>
  <si>
    <t>ADW2310066-P</t>
  </si>
  <si>
    <t>978-5-9614-9331-3</t>
  </si>
  <si>
    <t>Непревзойденные. Демоны Второго Города</t>
  </si>
  <si>
    <t>ADK2211062-P</t>
  </si>
  <si>
    <t>978-5-9614-8428-1</t>
  </si>
  <si>
    <t>Непревзойденные. Спящая Каракатица</t>
  </si>
  <si>
    <t>ADK2211061-P</t>
  </si>
  <si>
    <t>978-5-9614-8427-4</t>
  </si>
  <si>
    <t>Заргарпур Диба</t>
  </si>
  <si>
    <t>Отражения нашего дома</t>
  </si>
  <si>
    <t>ADW2310065-P</t>
  </si>
  <si>
    <t>978-5-9614-9330-6</t>
  </si>
  <si>
    <t>Миа Яна</t>
  </si>
  <si>
    <t>По ветру</t>
  </si>
  <si>
    <t>ADW2408135-P</t>
  </si>
  <si>
    <t>978-5-0063-0101-6</t>
  </si>
  <si>
    <t>Войцек Виктория</t>
  </si>
  <si>
    <t>Поймать океан</t>
  </si>
  <si>
    <t>ADW2412204-P</t>
  </si>
  <si>
    <t>978-5-9614-8745-9</t>
  </si>
  <si>
    <t>Рубиалес Инма</t>
  </si>
  <si>
    <t>Пока не закончатся звезды</t>
  </si>
  <si>
    <t>ADW2501263-P</t>
  </si>
  <si>
    <t>978-5-9614-9275-0</t>
  </si>
  <si>
    <t>Брусас Элейна</t>
  </si>
  <si>
    <t>После этого</t>
  </si>
  <si>
    <t>ADW2307178-P</t>
  </si>
  <si>
    <t>978-5-9614-9144-9</t>
  </si>
  <si>
    <t>Юмин Римюи</t>
  </si>
  <si>
    <t>Похоронный концерт</t>
  </si>
  <si>
    <t>ADW2410381-P</t>
  </si>
  <si>
    <t>978-5-9614-9507-2</t>
  </si>
  <si>
    <t>Власенко Ольга</t>
  </si>
  <si>
    <t>Птица</t>
  </si>
  <si>
    <t>ADW2502043-P</t>
  </si>
  <si>
    <t>978-5-9614-9906-3</t>
  </si>
  <si>
    <t>23.03.2025</t>
  </si>
  <si>
    <t>Пустая</t>
  </si>
  <si>
    <t>ADH2209125-P</t>
  </si>
  <si>
    <t>978-5-9614-8326-0</t>
  </si>
  <si>
    <t>Мансон Мэтти</t>
  </si>
  <si>
    <t>Разломы</t>
  </si>
  <si>
    <t>AWW2503188-P</t>
  </si>
  <si>
    <t>978-5-0063-0102-3</t>
  </si>
  <si>
    <t>Смит Лисса Мия</t>
  </si>
  <si>
    <t>Ревелль</t>
  </si>
  <si>
    <t>ADW2305105-P</t>
  </si>
  <si>
    <t>978-5-9614-8985-9</t>
  </si>
  <si>
    <t>Сыщики с Нанкин-роуд</t>
  </si>
  <si>
    <t>ADW2307177-P</t>
  </si>
  <si>
    <t>978-5-9614-9143-2</t>
  </si>
  <si>
    <t>Хигасимура Акико</t>
  </si>
  <si>
    <t>Фальшивая измена. Том 1</t>
  </si>
  <si>
    <t>Пер. с яп.</t>
  </si>
  <si>
    <t>ADW2312183-P</t>
  </si>
  <si>
    <t>978-5-9614-9521-8</t>
  </si>
  <si>
    <t>Гу Морин</t>
  </si>
  <si>
    <t>Флешбэк мечты</t>
  </si>
  <si>
    <t>ADW2501264-P</t>
  </si>
  <si>
    <t>978-5-9614-9276-7</t>
  </si>
  <si>
    <t>Мендес Ямиль Сайед</t>
  </si>
  <si>
    <t>Фурия</t>
  </si>
  <si>
    <t>ADW2309166-P</t>
  </si>
  <si>
    <t>978-5-9614-8950-7</t>
  </si>
  <si>
    <t>[обложка] Щепотка магии</t>
  </si>
  <si>
    <t>ADH2212198-P</t>
  </si>
  <si>
    <t>978-5-9614-8595-0</t>
  </si>
  <si>
    <t>Арнольд Дэвид</t>
  </si>
  <si>
    <t>Электрическое королевство</t>
  </si>
  <si>
    <t>ADW2311152-P</t>
  </si>
  <si>
    <t>978-5-9614-9462-4</t>
  </si>
  <si>
    <t>Сара Мая</t>
  </si>
  <si>
    <t>Эллиот</t>
  </si>
  <si>
    <t>ADW2501065-P</t>
  </si>
  <si>
    <t>978-5-9614-9873-8</t>
  </si>
  <si>
    <t>10. Библиотека Сбербанка</t>
  </si>
  <si>
    <t>00-00017829</t>
  </si>
  <si>
    <t>Стивен Кови</t>
  </si>
  <si>
    <t>01_т_Стивен Кови "Семь навыков высокоэффективных людей", квинель</t>
  </si>
  <si>
    <t>_00-00017829</t>
  </si>
  <si>
    <t>978-5-9614-4562-6</t>
  </si>
  <si>
    <t>Библиотека Сбера</t>
  </si>
  <si>
    <t>00-00018694</t>
  </si>
  <si>
    <t>Барлоу Джанелл, Мёллер Клаус</t>
  </si>
  <si>
    <t>03_т_Джанелл Барлоу, Клаус Мёллер "Жалоба как подарок. Обратная связь с клиентом - инструмент маркетинговой стратегии", квинель</t>
  </si>
  <si>
    <t>_00-00018694</t>
  </si>
  <si>
    <t>978-5-9614-5321-8</t>
  </si>
  <si>
    <t>00-К0002241</t>
  </si>
  <si>
    <t>Джеффри Лайкер</t>
  </si>
  <si>
    <t>04_т_"Дао Toyota: 14 принципов менеджмента ведущей компании мира" Д.Лайкер, квинель</t>
  </si>
  <si>
    <t>_00-К0002241</t>
  </si>
  <si>
    <t>978-5-9614-1427-1</t>
  </si>
  <si>
    <t>00-К0002243</t>
  </si>
  <si>
    <t>Рэм Чаран, Ларри Боссиди</t>
  </si>
  <si>
    <t>05_т_ "Искусство результативного управления" Л.Боссиди, Р.Чаран, квинель</t>
  </si>
  <si>
    <t>_00-К0002243</t>
  </si>
  <si>
    <t>978-5-9614-1314-4</t>
  </si>
  <si>
    <t>00-К0002251</t>
  </si>
  <si>
    <t>06_т_"Развитие лидеров" И.Адизес, квинель</t>
  </si>
  <si>
    <t>_00-К0002251</t>
  </si>
  <si>
    <t>978-5-9614-2058-6</t>
  </si>
  <si>
    <t>00-К0002244</t>
  </si>
  <si>
    <t>Дэвид Льюис</t>
  </si>
  <si>
    <t>07_т_"Управление стрессом" Д.Льюис, квинель</t>
  </si>
  <si>
    <t>_00-К0002244</t>
  </si>
  <si>
    <t>978-5-9614-1325-0</t>
  </si>
  <si>
    <t>00-К0002245</t>
  </si>
  <si>
    <t>Роджер Ловенстайн</t>
  </si>
  <si>
    <t>08_т_"Когда гений терпит поражение" Р.Ловенстайн, квинель</t>
  </si>
  <si>
    <t>Олимп-Бизнес</t>
  </si>
  <si>
    <t>_00-К0002245</t>
  </si>
  <si>
    <t>978-5-9693-0475-8</t>
  </si>
  <si>
    <t>00-К0002246</t>
  </si>
  <si>
    <t>Стивен Спир</t>
  </si>
  <si>
    <t>09_т_"Догнать зайца" С.Спир, квинель</t>
  </si>
  <si>
    <t>_00-К0002246</t>
  </si>
  <si>
    <t>978-5-9614-1392-2</t>
  </si>
  <si>
    <t>00-К0002247</t>
  </si>
  <si>
    <t>Дон Тэппинг, Томас Фабрицио</t>
  </si>
  <si>
    <t>10_т_"5S для офиса" С.Кови, квинель</t>
  </si>
  <si>
    <t>_00-К0002247</t>
  </si>
  <si>
    <t>978-5-9614-1390-8</t>
  </si>
  <si>
    <t>С00200</t>
  </si>
  <si>
    <t>Скотт Эндрю, Граттон Линда</t>
  </si>
  <si>
    <t>101_т_Новое долголетие : На чем будет строиться благополучие людей в меняющемся мире</t>
  </si>
  <si>
    <t>Пер. с англ.</t>
  </si>
  <si>
    <t>978-5-907394-33-9</t>
  </si>
  <si>
    <t>С00192</t>
  </si>
  <si>
    <t>102_т_Работа без страха : Как создать в компании психологически безопасную среду для максимальной командной эффективности</t>
  </si>
  <si>
    <t>978-5-907394-19-3</t>
  </si>
  <si>
    <t>С00193</t>
  </si>
  <si>
    <t>103_т_Решение общественных проблем: Практическое руководство по изменению мира к лучшему</t>
  </si>
  <si>
    <t>978-5-907534-14-8</t>
  </si>
  <si>
    <t>С00194</t>
  </si>
  <si>
    <t>Бриль Герман</t>
  </si>
  <si>
    <t>104_т_Устойчивое инвестирование: Навигатор по миру ESG</t>
  </si>
  <si>
    <t>978-5-907534-72-8</t>
  </si>
  <si>
    <t>С00197</t>
  </si>
  <si>
    <t>Рэй Далио</t>
  </si>
  <si>
    <t>105_т_Принципы изменения мирового порядка. Почему одни нации побеждают, а другие терпят поражение</t>
  </si>
  <si>
    <t>Манн, Иванов и Фербер</t>
  </si>
  <si>
    <t>978-5-00195-690-7</t>
  </si>
  <si>
    <t>С00201</t>
  </si>
  <si>
    <t>106_т_Сохраняя энергию стартапа: Как техногиганты ежедневно изобретают будущее и остаются на вершине</t>
  </si>
  <si>
    <t>978-5-206-00212-6</t>
  </si>
  <si>
    <t>С00199</t>
  </si>
  <si>
    <t>107_т_Метавселенная: Как она меняет наш мир</t>
  </si>
  <si>
    <t>978-5-206-00210-2</t>
  </si>
  <si>
    <t>С00195</t>
  </si>
  <si>
    <t>Россман Роберт , Дэрден Мэтью</t>
  </si>
  <si>
    <t>108_т_Дизайн впечатлений: Инструменты и шаблоны создания у клиента положительных эмоций от взаимодействия с компанией и продуктом</t>
  </si>
  <si>
    <t>978-5-206-00211-9</t>
  </si>
  <si>
    <t>С00198</t>
  </si>
  <si>
    <t xml:space="preserve"> Харви Кэмбелл</t>
  </si>
  <si>
    <t>109_т_DeFi и будущее финансов. Как технология децентрализованных финансов трансформирует банковскую систему</t>
  </si>
  <si>
    <t>БОМБОРА</t>
  </si>
  <si>
    <t>978-5-04-189680-5</t>
  </si>
  <si>
    <t>С00196</t>
  </si>
  <si>
    <t>110_т_Осознанное неподчинение: Как реагировать на спорные распоряжения</t>
  </si>
  <si>
    <t>978-5-206-00255-3</t>
  </si>
  <si>
    <t>00-К0002248</t>
  </si>
  <si>
    <t>Джеймс Гилмор, Джозеф Пайн</t>
  </si>
  <si>
    <t>12_т_"Экономика впечатлений" Д.Пайн,Д.Гилмор, квинель</t>
  </si>
  <si>
    <t>_00-К0002248</t>
  </si>
  <si>
    <t>978-5-9614-1616-9</t>
  </si>
  <si>
    <t>00-00010095</t>
  </si>
  <si>
    <t>Брэнсон Ричард</t>
  </si>
  <si>
    <t>13_т_Книга "Эмоциональный интеллект. Почему он может значить больше, чем IQ" для Сбербанка</t>
  </si>
  <si>
    <t>_00-00010095</t>
  </si>
  <si>
    <t>978-5-00057-088-3</t>
  </si>
  <si>
    <t>00-К0002697</t>
  </si>
  <si>
    <t>Джеффри Фокс</t>
  </si>
  <si>
    <t>14_т_Книга "Бережливое производство плюс шесть сигм в сфере услуг"</t>
  </si>
  <si>
    <t>_00-К0002697</t>
  </si>
  <si>
    <t>978-5-00117-797-5</t>
  </si>
  <si>
    <t>00-К0002698</t>
  </si>
  <si>
    <t>Генри Минцберг</t>
  </si>
  <si>
    <t>15_т_"Меннеджмент. Природа и структура организации"Минцберг Г.</t>
  </si>
  <si>
    <t>Издательство "Эксмо"</t>
  </si>
  <si>
    <t>_00-К0002698</t>
  </si>
  <si>
    <t>978-5-04-095782-8</t>
  </si>
  <si>
    <t>00-К0002699</t>
  </si>
  <si>
    <t>Лиз Бурбо</t>
  </si>
  <si>
    <t>16_т_Книга "Любовь, любовь, любовь"</t>
  </si>
  <si>
    <t>Издательство "София"</t>
  </si>
  <si>
    <t>Пер. с франц.</t>
  </si>
  <si>
    <t>_00-К0002699</t>
  </si>
  <si>
    <t>978-5-399-00269-9</t>
  </si>
  <si>
    <t>Переплёт</t>
  </si>
  <si>
    <t>00-К0002700</t>
  </si>
  <si>
    <t>Джордж Колризер</t>
  </si>
  <si>
    <t>17_т_"Не стать заложником: Сохранить самообладание и убедить оппонента"</t>
  </si>
  <si>
    <t>_00-К0002700</t>
  </si>
  <si>
    <t>978-5-9614-7312-4</t>
  </si>
  <si>
    <t>00-К0002701</t>
  </si>
  <si>
    <t>Дон Тапскотт, Энтони Уильямс</t>
  </si>
  <si>
    <t>18_т_Книга "Викиномика.Как массовое сотрудничество изменяет все"</t>
  </si>
  <si>
    <t>_00-К0002701</t>
  </si>
  <si>
    <t>978-5-9614-1889-7</t>
  </si>
  <si>
    <t>00-К0002702</t>
  </si>
  <si>
    <t>Акин Онгор</t>
  </si>
  <si>
    <t>19_т_Книга "После меня - продолжение..."</t>
  </si>
  <si>
    <t>_00-К0002702</t>
  </si>
  <si>
    <t>978-5-9614-1783-8</t>
  </si>
  <si>
    <t>00-К0002703</t>
  </si>
  <si>
    <t>Ли Болмэн, Терренс Дил</t>
  </si>
  <si>
    <t>20_т_Книга "Рефрейминг организаций"</t>
  </si>
  <si>
    <t>_00-К0002703</t>
  </si>
  <si>
    <t>978-5-9614-2059-3</t>
  </si>
  <si>
    <t>00-К0001432</t>
  </si>
  <si>
    <t>Майкл Армстронг, Бэрон Анжела</t>
  </si>
  <si>
    <t>21_т_"Управление результативностью: Система оценки результатов в действии" авторы Бэрон Анжела, Армстронг Майкл (квинель)</t>
  </si>
  <si>
    <t>_00-К0001432</t>
  </si>
  <si>
    <t>978-5-9614-4584-8</t>
  </si>
  <si>
    <t>00-К0002704</t>
  </si>
  <si>
    <t>Элияху Голдратт</t>
  </si>
  <si>
    <t>22_т_Книга "Цель"</t>
  </si>
  <si>
    <t>UAB Rgrupe</t>
  </si>
  <si>
    <t>_00-К0002704</t>
  </si>
  <si>
    <t>978-9955-923-11-4</t>
  </si>
  <si>
    <t>00-К0002707</t>
  </si>
  <si>
    <t>Джефф Хау</t>
  </si>
  <si>
    <t>23_т_Книга "Краудсорсинг.Коллективный разум как инструмент развития бизнеса"</t>
  </si>
  <si>
    <t>_00-К0002707</t>
  </si>
  <si>
    <t>978-5-9614-1872-9</t>
  </si>
  <si>
    <t>00-К0032411</t>
  </si>
  <si>
    <t>Бет Симон Новек</t>
  </si>
  <si>
    <t>24_т_Книга "WIKI - правительство. Как технологии могут сделать власть лучше, демократию - сильнее, а граждан - влиятельнее"</t>
  </si>
  <si>
    <t>_00-К0032411</t>
  </si>
  <si>
    <t>978-5-9614-1908-5</t>
  </si>
  <si>
    <t>00-00020116</t>
  </si>
  <si>
    <t>Гэвин Кеннеди</t>
  </si>
  <si>
    <t>25_т_Переговоры: Полный курс Кеннеди Г.</t>
  </si>
  <si>
    <t>_00-00020116</t>
  </si>
  <si>
    <t>978-5-9614-1917-7</t>
  </si>
  <si>
    <t>00-К0002708</t>
  </si>
  <si>
    <t>Робин Стюарт-Котце</t>
  </si>
  <si>
    <t>26_т_Книга "Результативность: секреты эффективного поведения"</t>
  </si>
  <si>
    <t>_00-К0002708</t>
  </si>
  <si>
    <t>978-5-9614-1886-6</t>
  </si>
  <si>
    <t>00-К0002249</t>
  </si>
  <si>
    <t>Питер Сенге</t>
  </si>
  <si>
    <t>27_т_"Танец перемен" П. Сенге, квинель</t>
  </si>
  <si>
    <t>_00-К0002249</t>
  </si>
  <si>
    <t>978-5-9693-0476-5</t>
  </si>
  <si>
    <t>00-К0002250</t>
  </si>
  <si>
    <t>Юрий Сигов</t>
  </si>
  <si>
    <t>28_т_ "Сингапур" Ю.Сигов, квинель</t>
  </si>
  <si>
    <t>_00-К0002250</t>
  </si>
  <si>
    <t>978-5-9614-2216-0</t>
  </si>
  <si>
    <t>00-К0002709</t>
  </si>
  <si>
    <t>Ричард Брэнсон</t>
  </si>
  <si>
    <t>29_т_ "Теряя невинность: Как я построил бизнес, делая все по-своему и получая удовольствие от жизни", квинель</t>
  </si>
  <si>
    <t>_00-К0002709</t>
  </si>
  <si>
    <t>978-5-9614-2265-8</t>
  </si>
  <si>
    <t>00-К0002710</t>
  </si>
  <si>
    <t>30_т_Книга "Критическая цепь"</t>
  </si>
  <si>
    <t>_00-К0002710</t>
  </si>
  <si>
    <t>978-5-9614-7311-7</t>
  </si>
  <si>
    <t>00-К0016194</t>
  </si>
  <si>
    <t>Ди Джейкоб, Сьюзан Бергланд, Джеф Кокс</t>
  </si>
  <si>
    <t>32_т_Учебное пособие: Новая цель: Как объединить бережливое производство, шесть сигм и теорию ограничений</t>
  </si>
  <si>
    <t>_00-К0016194</t>
  </si>
  <si>
    <t>978-5-00146-339-9</t>
  </si>
  <si>
    <t>00-К0002274</t>
  </si>
  <si>
    <t>Малкольм Гладуэлл</t>
  </si>
  <si>
    <t>33_т_ Книга "Гении и аутсайдеры" для Сбербанка</t>
  </si>
  <si>
    <t>_00-К0002274</t>
  </si>
  <si>
    <t>978-5-00146-111-1</t>
  </si>
  <si>
    <t>00-00018699</t>
  </si>
  <si>
    <t>Йохан Нелис, Джон Джестон</t>
  </si>
  <si>
    <t>34_т_Джон Джестон, Йохан Нелис "Управление бизнес-процессами: Практическое руководство по успешной реализации проектов", квинель</t>
  </si>
  <si>
    <t>_00-00018699</t>
  </si>
  <si>
    <t>978-5-9614-5315-7</t>
  </si>
  <si>
    <t>00-К0002711</t>
  </si>
  <si>
    <t>Катценбах Ждон</t>
  </si>
  <si>
    <t>36_т_ Книга "Командный подход: Создание высокоэффективной организации" квинель</t>
  </si>
  <si>
    <t>_00-К0002711</t>
  </si>
  <si>
    <t>978-5-9614-4390-5</t>
  </si>
  <si>
    <t>00-00018700</t>
  </si>
  <si>
    <t>Михай Чиксентмихайи</t>
  </si>
  <si>
    <t>37_т_Михай Чиксентмихайи "Поток: Психология оптимального переживания", квинель</t>
  </si>
  <si>
    <t>_00-00018700</t>
  </si>
  <si>
    <t>978-5-9614-7295-0</t>
  </si>
  <si>
    <t>00-00010316</t>
  </si>
  <si>
    <t>Джеймс Хьюз-мл.</t>
  </si>
  <si>
    <t>38_т_Брошюра "Богатство семьи"</t>
  </si>
  <si>
    <t>_00-00010316</t>
  </si>
  <si>
    <t>978-5-9693-0258-7</t>
  </si>
  <si>
    <t>00-00018689</t>
  </si>
  <si>
    <t>Робин Шарма</t>
  </si>
  <si>
    <t>39_т_Робин Шарма "Лидер без титула: Современная притча об истинном успехе в жизни и бизнесе", квинель</t>
  </si>
  <si>
    <t>Издательство "АСТ"</t>
  </si>
  <si>
    <t>_00-00018689</t>
  </si>
  <si>
    <t>978-5-17-083200-2</t>
  </si>
  <si>
    <t>00-00001946</t>
  </si>
  <si>
    <t>Майкл Ташмен</t>
  </si>
  <si>
    <t>40_т_Брошюра квинель: Победить с помощью инноваций: практическое руководство по изменениям и обновлению организации</t>
  </si>
  <si>
    <t>_00-00001946</t>
  </si>
  <si>
    <t>978-5-9614-4620-3</t>
  </si>
  <si>
    <t>00-00018696</t>
  </si>
  <si>
    <t>Бент Фливбьорг, Нильс Брузелиус, Вернер Ротенгаттер</t>
  </si>
  <si>
    <t>41_т_Бент Фливбьорг, Нильс Брузелиус, Вернер Ротенгаттер "Мегапроекты: История недостроев, перерасходов и прочих рисков строительства", квинель</t>
  </si>
  <si>
    <t>_00-00018696</t>
  </si>
  <si>
    <t>978-5-9614-4626-5</t>
  </si>
  <si>
    <t>00-00006446</t>
  </si>
  <si>
    <t>Скотт Келлер, Колин Прайс</t>
  </si>
  <si>
    <t>42_т_Брошюра квинель: Больше, чем эффективность: Как самые успешные компании сохраняют лидерство на рынке</t>
  </si>
  <si>
    <t>_00-00006446</t>
  </si>
  <si>
    <t>978-5-9614-7310-0</t>
  </si>
  <si>
    <t>00-00018625</t>
  </si>
  <si>
    <t>Бернард Феррари</t>
  </si>
  <si>
    <t>43_т_Книга "Умение слушать. Ключевой навык менеджера". Автор: Феррари Б. (квинель)</t>
  </si>
  <si>
    <t>_00-00018625</t>
  </si>
  <si>
    <t>978-5-00117-876-7</t>
  </si>
  <si>
    <t>00-00001860</t>
  </si>
  <si>
    <t>Джим Лоэр</t>
  </si>
  <si>
    <t>44_т_Брошюра квинель: Жизнь на полной мощности.</t>
  </si>
  <si>
    <t>_00-00001860</t>
  </si>
  <si>
    <t>978-5-00146-334-4</t>
  </si>
  <si>
    <t>К13096</t>
  </si>
  <si>
    <t>Келли Макгонигал</t>
  </si>
  <si>
    <t>45_т_Сила воли. Как развить и укрепить (квинель)</t>
  </si>
  <si>
    <t>_00000013096</t>
  </si>
  <si>
    <t>978-5-00146-332-0</t>
  </si>
  <si>
    <t>00-00009962</t>
  </si>
  <si>
    <t>Кармен Рейнхарт, Кеннет Рогофф</t>
  </si>
  <si>
    <t>47_т_Брошюра, квинель "На этот раз все будет иначе: Восемь столетий финансового безрассудства"</t>
  </si>
  <si>
    <t>_00-00009962</t>
  </si>
  <si>
    <t>978-5-9614-4990-7</t>
  </si>
  <si>
    <t>00-00009937</t>
  </si>
  <si>
    <t>49_т_БАНК 3.0 (квинель)</t>
  </si>
  <si>
    <t>_00-00009937</t>
  </si>
  <si>
    <t>978-5-9693-0294-5</t>
  </si>
  <si>
    <t>00-00009957</t>
  </si>
  <si>
    <t>Джон П. Коттер</t>
  </si>
  <si>
    <t>50_т_УСКОРЕНИЕ ПЕРЕМЕН (квинель)</t>
  </si>
  <si>
    <t>_00-00009957</t>
  </si>
  <si>
    <t>978-5-9693-0295-2</t>
  </si>
  <si>
    <t>00-00018550</t>
  </si>
  <si>
    <t>Дарон Аджемоглу, Джеймс Робинсон</t>
  </si>
  <si>
    <t>51_т_Книга "Почему одни страны богатые, а другие бедные" в квинели</t>
  </si>
  <si>
    <t>_00-00018550</t>
  </si>
  <si>
    <t>978-5-17-093195-8</t>
  </si>
  <si>
    <t>00-00012157</t>
  </si>
  <si>
    <t>Митио Каку</t>
  </si>
  <si>
    <t>52_т_Брошюра, твердый переплет "Будущее разума"</t>
  </si>
  <si>
    <t>Альпина-нон-фикшн</t>
  </si>
  <si>
    <t>_00-00012157</t>
  </si>
  <si>
    <t>978-5-00139-481-5</t>
  </si>
  <si>
    <t>00-00015924</t>
  </si>
  <si>
    <t>Эрик Шмидт, Джонатан Розенберг</t>
  </si>
  <si>
    <t>53_т_Книга Э.Шмидта и Д. Розенберга "Как работает Google", квинель</t>
  </si>
  <si>
    <t>_00-00015924</t>
  </si>
  <si>
    <t>978-5-699-81036-9</t>
  </si>
  <si>
    <t>00-00004162</t>
  </si>
  <si>
    <t>Барбара Минто</t>
  </si>
  <si>
    <t>54_т_Книга "Принцип пирамиды Минто. Золотые правила мышления, делового письма и устных выступлений ". Автор: Минто Б.(квинель)</t>
  </si>
  <si>
    <t>_00-00004162</t>
  </si>
  <si>
    <t>978-5-00146-337-5</t>
  </si>
  <si>
    <t>00-00019572</t>
  </si>
  <si>
    <t>Барри Шварц, Кеннет Шарп</t>
  </si>
  <si>
    <t>55_т_Практическая мудрость: Правильный способ делать правильные вещи (квинель)</t>
  </si>
  <si>
    <t>_00-00019572</t>
  </si>
  <si>
    <t>978-5-9693-0333-1</t>
  </si>
  <si>
    <t>00-00020227</t>
  </si>
  <si>
    <t>Эд Кэтмелл</t>
  </si>
  <si>
    <t>56_т_Эд Кэтмелл при участии Эми Уоллес "Креативная компания" (квинель)</t>
  </si>
  <si>
    <t>_00-00020227</t>
  </si>
  <si>
    <t>978-5-9614-5364-5</t>
  </si>
  <si>
    <t>00-00021091</t>
  </si>
  <si>
    <t>Маршалл Голдсмит, Марк Райтер</t>
  </si>
  <si>
    <t>57_т_Маршалл Голдсмит (при участии Марка Райтера) "Что привело тебя сюда, не приведёт тебя туда", 288 с., квинель</t>
  </si>
  <si>
    <t>_00-К0001686</t>
  </si>
  <si>
    <t>978-5-9693-0339-1</t>
  </si>
  <si>
    <t>00-00021080</t>
  </si>
  <si>
    <t>Джудит Гурвиц</t>
  </si>
  <si>
    <t>58_т_Книга "Просто о больших данных", 400 с., квинель Гурвиц Д., Ньюджент А., Халпер Ф., Кауфман М.</t>
  </si>
  <si>
    <t>_00-00021080</t>
  </si>
  <si>
    <t>978-5-699-85807-1</t>
  </si>
  <si>
    <t>00-00020058</t>
  </si>
  <si>
    <t>Алан Сигел</t>
  </si>
  <si>
    <t>59_т_Книга "Кратко. Ясно. Просто", авторы Алан Сигел, Айрин Эцкорн (квинель)</t>
  </si>
  <si>
    <t>_00-00020058</t>
  </si>
  <si>
    <t>978-5-9693-0336-2</t>
  </si>
  <si>
    <t>00-00022209</t>
  </si>
  <si>
    <t>Джефф Сазерленд</t>
  </si>
  <si>
    <t>60_т_Книга "Scrum. Революционный метод управления проектами"  Квинель</t>
  </si>
  <si>
    <t>_00-00022209</t>
  </si>
  <si>
    <t>978-5-00146-335-1</t>
  </si>
  <si>
    <t>00-К0000351</t>
  </si>
  <si>
    <t>Эми Эдмондсон</t>
  </si>
  <si>
    <t>61_т_Книга "Взаимодействие в команде: как организации учатся, создают инновации и конкурируют в экономике знаний". Квинель</t>
  </si>
  <si>
    <t>_00-К0000351</t>
  </si>
  <si>
    <t>978-5-699-87246-6</t>
  </si>
  <si>
    <t>00-К0000341</t>
  </si>
  <si>
    <t>Мишель Хури, Раби Абучакра</t>
  </si>
  <si>
    <t>62_т_"Эффективное правительство для нового века: Реформирование государственного управления в современном мире" Раби Абучакра, Мишель Хури. Квинель</t>
  </si>
  <si>
    <t>_00-К0000341</t>
  </si>
  <si>
    <t>978-5-9693-0349-2</t>
  </si>
  <si>
    <t>00-К0001191</t>
  </si>
  <si>
    <t>Клаус Шваб</t>
  </si>
  <si>
    <t>63_т_Шваб. К. Четвертая промышленная революция (квинель)</t>
  </si>
  <si>
    <t>_00-К0001191</t>
  </si>
  <si>
    <t>978-5-699-89393-5</t>
  </si>
  <si>
    <t>00-К0001139</t>
  </si>
  <si>
    <t>64_т_Книга Бет Новек "Умные граждане -умное государство" квинель</t>
  </si>
  <si>
    <t>_00-К0001139</t>
  </si>
  <si>
    <t>978-5-9693-0356-0</t>
  </si>
  <si>
    <t>00-К0001684</t>
  </si>
  <si>
    <t>Роберт Куинн</t>
  </si>
  <si>
    <t>66_т_Книга "Позитивная организация" Роберт Е. Куинн,208 с., квинель</t>
  </si>
  <si>
    <t>_00-К0001684</t>
  </si>
  <si>
    <t>978-5-9693-0350-8</t>
  </si>
  <si>
    <t>00-К0001889</t>
  </si>
  <si>
    <t>Клаудио Фернандс-Араос</t>
  </si>
  <si>
    <t>67_т_Книга "Выбирать сильнейших" для Сбербанка</t>
  </si>
  <si>
    <t>_00-К0001889</t>
  </si>
  <si>
    <t>978-5-00146-114-2</t>
  </si>
  <si>
    <t>00-К0001888</t>
  </si>
  <si>
    <t>Патрик Ленсиони</t>
  </si>
  <si>
    <t>68_т_Книга "Сердце компании" для Сбербанка</t>
  </si>
  <si>
    <t>_00-К0001888</t>
  </si>
  <si>
    <t>978-5-00146-336-8</t>
  </si>
  <si>
    <t>00-К0001786</t>
  </si>
  <si>
    <t>Мелани Свон</t>
  </si>
  <si>
    <t>69_т_ "Blockchain: Blueprint for a New Economy" квинель</t>
  </si>
  <si>
    <t>_00-К0001786</t>
  </si>
  <si>
    <t>978-5-9693-0367-6</t>
  </si>
  <si>
    <t>00-К0001874</t>
  </si>
  <si>
    <t>Йохан Г Виссема</t>
  </si>
  <si>
    <t>70_т_"Университет третьего поколения" Й.Г.Виссема, квинель</t>
  </si>
  <si>
    <t>_00-К0001874</t>
  </si>
  <si>
    <t>978-5-9693-0296-9</t>
  </si>
  <si>
    <t>00-К0003025</t>
  </si>
  <si>
    <t>Тао Тянь, Давид да Кремер, Чуньбо У</t>
  </si>
  <si>
    <t>71_т_ "Huawei. Лидерство, корпоративная культура, открытость", авторы Тянь Тао, Давид де Кремер, У Чуньбо</t>
  </si>
  <si>
    <t>_00-К0003025</t>
  </si>
  <si>
    <t>978-5-9909052-0-7</t>
  </si>
  <si>
    <t>00-К0003934</t>
  </si>
  <si>
    <t>Чад-Мень Тан</t>
  </si>
  <si>
    <t>72_т_"Ищи в себе" Чад-Мэнь Тань, квинель</t>
  </si>
  <si>
    <t>_00-К0003934</t>
  </si>
  <si>
    <t>978-5-17-982584-5</t>
  </si>
  <si>
    <t>00-К0003963</t>
  </si>
  <si>
    <t>Дов Сайдман</t>
  </si>
  <si>
    <t>73_т_ Книга "Отношение определяет результат" квинель</t>
  </si>
  <si>
    <t>_00-К0003963</t>
  </si>
  <si>
    <t>978-5-00146-340-5</t>
  </si>
  <si>
    <t>00-К0004101</t>
  </si>
  <si>
    <t>Джиллиан Тетт</t>
  </si>
  <si>
    <t>74_т_ Gillian Tett "The Silo Effect: The Peril of Expertise and the Promise of Breaking Down Barriers" квинель</t>
  </si>
  <si>
    <t>_00-К0004101</t>
  </si>
  <si>
    <t>978-5-9693-0380-5</t>
  </si>
  <si>
    <t>00-К0004496</t>
  </si>
  <si>
    <t>Джайдип Прабху, Нави Раджу</t>
  </si>
  <si>
    <t>75_т_ "Бережливые инновации" авторы Нави Раджу, Джайдип Прабху, квинель</t>
  </si>
  <si>
    <t>_00-К0004496</t>
  </si>
  <si>
    <t>978-5-9909052-7-6</t>
  </si>
  <si>
    <t>00-К0005450</t>
  </si>
  <si>
    <t>Марк Лейтон</t>
  </si>
  <si>
    <t>76_т_"Просто об Agile" Лейтон М., квинель</t>
  </si>
  <si>
    <t>_00-К0005450</t>
  </si>
  <si>
    <t>978-5-699-92081-5</t>
  </si>
  <si>
    <t>00-К0005627</t>
  </si>
  <si>
    <t>Джо Лау</t>
  </si>
  <si>
    <t>77_т_ "Введение в критическое мышление и теорию креативности" Лау Д., квинель</t>
  </si>
  <si>
    <t>_00-К0005627</t>
  </si>
  <si>
    <t>978-5-699-99936-1</t>
  </si>
  <si>
    <t>00-К0005727</t>
  </si>
  <si>
    <t>Карло Ровелли</t>
  </si>
  <si>
    <t>78_т_"Семь этюдов по физике" квинель</t>
  </si>
  <si>
    <t>_00-К0005727</t>
  </si>
  <si>
    <t>978-5-17-102472-7</t>
  </si>
  <si>
    <t>00-К0007902</t>
  </si>
  <si>
    <t>Клаус Шваб, Николас Дэвис</t>
  </si>
  <si>
    <t>80_т_ "Технологии Четвертой промышленной революции" Шваб К., Дэвис Н. (квинель)</t>
  </si>
  <si>
    <t>_00-К0007902</t>
  </si>
  <si>
    <t>978-5-04-095566-4</t>
  </si>
  <si>
    <t>00-К0008448</t>
  </si>
  <si>
    <t>Альфред П. Слоун</t>
  </si>
  <si>
    <t>81_т_ "Мои годы в General Motors" Слоун А., квинель</t>
  </si>
  <si>
    <t>_00-К0008448</t>
  </si>
  <si>
    <t>978-5-699-96647-9</t>
  </si>
  <si>
    <t>00-К0013913</t>
  </si>
  <si>
    <t>Мойзес Наим</t>
  </si>
  <si>
    <t>82_т_"Конец традиционной власти", квинель</t>
  </si>
  <si>
    <t>_00-К0013913</t>
  </si>
  <si>
    <t>978-5-17-094212-1</t>
  </si>
  <si>
    <t>00-К0010874</t>
  </si>
  <si>
    <t>Эрминия Ибарра</t>
  </si>
  <si>
    <t>83_т_ "Действуй как лидер, думай как лидер", квинель</t>
  </si>
  <si>
    <t>_00-К0010874</t>
  </si>
  <si>
    <t>978-5-04-096376-8</t>
  </si>
  <si>
    <t>00-К0011208</t>
  </si>
  <si>
    <t>85_т_"Принципы. Жизнь и работа" Р.Далио, квинель</t>
  </si>
  <si>
    <t>_00-К0011208</t>
  </si>
  <si>
    <t>978-5-00117-892-7</t>
  </si>
  <si>
    <t>00-К0012364</t>
  </si>
  <si>
    <t>Ширенбек Хеннер, Листер Михаэль, Кирмсе Штефан</t>
  </si>
  <si>
    <t>87_т_ "Банковский менеджмент, ориентированный на доход. Измерение доходности и риска в банковском бизнесе" Х.Ширенбен, М.Листер, квинель</t>
  </si>
  <si>
    <t>_00-К0012364</t>
  </si>
  <si>
    <t>978-5-9693-0407-9</t>
  </si>
  <si>
    <t>00-К0013109</t>
  </si>
  <si>
    <t>Рэм Чаран, Доминик Бартон, Деннис Кэри</t>
  </si>
  <si>
    <t>88_т_ "Талант побеждает. О новом подходе в реализации HR " Р.Чаран, Д.Бартон квинель</t>
  </si>
  <si>
    <t>_00-К0013109</t>
  </si>
  <si>
    <t>978-5-6040010-5-9</t>
  </si>
  <si>
    <t>00-К0015556</t>
  </si>
  <si>
    <t>Юваль Ной Харари</t>
  </si>
  <si>
    <t>89_т_ "21 урок для XXI века " Харари Ю.Н., квинель</t>
  </si>
  <si>
    <t>Издательство "Синбад"</t>
  </si>
  <si>
    <t>_00-К0015556</t>
  </si>
  <si>
    <t>978-5-00131-103-4</t>
  </si>
  <si>
    <t>00-К0014585</t>
  </si>
  <si>
    <t>Филиппа Перри</t>
  </si>
  <si>
    <t>90_т_"Как сохранить здравый ум", квинель</t>
  </si>
  <si>
    <t>_00-К0014585</t>
  </si>
  <si>
    <t>978-5-04-099122-8</t>
  </si>
  <si>
    <t>00-К0018720</t>
  </si>
  <si>
    <t>Майк Кон</t>
  </si>
  <si>
    <t>91_т_"Agile. Оценка и планирование проектов", квинель</t>
  </si>
  <si>
    <t>_00-К0018720</t>
  </si>
  <si>
    <t>978-5-9614-1850-7</t>
  </si>
  <si>
    <t>00-К0020710</t>
  </si>
  <si>
    <t>Алекс Моазед, Николас Джонсон</t>
  </si>
  <si>
    <t>92_т_"Платформа", квинель</t>
  </si>
  <si>
    <t>_00-К0020710</t>
  </si>
  <si>
    <t>978-5-9614-3057-8</t>
  </si>
  <si>
    <t>00-К0020851</t>
  </si>
  <si>
    <t>Ма Хуатен</t>
  </si>
  <si>
    <t>93_т_"Цифровая трансформация Китая ", квинель</t>
  </si>
  <si>
    <t>Интеллектуальная литература</t>
  </si>
  <si>
    <t>Пер. с китайского</t>
  </si>
  <si>
    <t>_00-К0020851</t>
  </si>
  <si>
    <t>978-5-6042882-8-3</t>
  </si>
  <si>
    <t>00-К0019962</t>
  </si>
  <si>
    <t>Питер Вайл, Стефани Ворнер</t>
  </si>
  <si>
    <t>94_т_"Цифровая трансформация бизнеса", квинель</t>
  </si>
  <si>
    <t>_00-К0019962</t>
  </si>
  <si>
    <t>978-5-9614-3053-0</t>
  </si>
  <si>
    <t>00-К0024911</t>
  </si>
  <si>
    <t>95_т_"Как жаль, что мои родители об этом не знали", квинель</t>
  </si>
  <si>
    <t>_00-К0024911</t>
  </si>
  <si>
    <t>978-5-04-111212-7</t>
  </si>
  <si>
    <t>00-К0024737</t>
  </si>
  <si>
    <t>Джо Боулер</t>
  </si>
  <si>
    <t>96_т_"Безграничный разум", квинель</t>
  </si>
  <si>
    <t>_00-К0024737</t>
  </si>
  <si>
    <t>978-5-00169-178-5</t>
  </si>
  <si>
    <t>00-К0026533</t>
  </si>
  <si>
    <t>Боб Рот</t>
  </si>
  <si>
    <t>97_т_"Сила в спокойствии", квинель</t>
  </si>
  <si>
    <t>_00-К0026533</t>
  </si>
  <si>
    <t>978-5-907274-88-4</t>
  </si>
  <si>
    <t>00-К0033096</t>
  </si>
  <si>
    <t>98_т_"Кибербезопасность: правила игры. Как руководители и сотрудники влияют на культуру безопасности в компании" квинель</t>
  </si>
  <si>
    <t>Альпина ПРО</t>
  </si>
  <si>
    <t>_00-К0033096</t>
  </si>
  <si>
    <t>978-5-907394-67-4</t>
  </si>
  <si>
    <t>00-К0035383</t>
  </si>
  <si>
    <t>Орловский В., Коровкин В.</t>
  </si>
  <si>
    <t>99_т_"От носорога к единорогу. Как управлять корпорациями в эпоху цифровой трансформаци" квинель</t>
  </si>
  <si>
    <t>Эксмо</t>
  </si>
  <si>
    <t>_00-К0035383</t>
  </si>
  <si>
    <t>978-5-04-159109-0</t>
  </si>
  <si>
    <t>00-К0035233</t>
  </si>
  <si>
    <t>коллектив авторов</t>
  </si>
  <si>
    <t>100_т_"Как изменить себя и мир к лучшему. 99 книг Библиотеки Сбера в одном томе", квинель</t>
  </si>
  <si>
    <t>Корпоративный университет Сбербанка</t>
  </si>
  <si>
    <t>_00-К0035233</t>
  </si>
  <si>
    <t>978-5-6046272-2-8</t>
  </si>
  <si>
    <t>00-К0020791</t>
  </si>
  <si>
    <t>Вольфгант Эртель</t>
  </si>
  <si>
    <t>ИИ "Введение в искусственный интеллект"</t>
  </si>
  <si>
    <t>_00-К0020791</t>
  </si>
  <si>
    <t>978-5-04-108594-0</t>
  </si>
  <si>
    <t>Искусственный интеллект (Библиотека Сбера)</t>
  </si>
  <si>
    <t>00-К0020793</t>
  </si>
  <si>
    <t>Дейвенпорт Томас</t>
  </si>
  <si>
    <t>ИИ "Внедрение ИИ в бизнес-практику"</t>
  </si>
  <si>
    <t>_00-К0020793</t>
  </si>
  <si>
    <t>978-5-907274-30-3</t>
  </si>
  <si>
    <t>00-К0031004</t>
  </si>
  <si>
    <t>ИИ "Искусственный интеллект в медицине: Как умные технологии меняют подход к лечению"</t>
  </si>
  <si>
    <t>_00-К0031004</t>
  </si>
  <si>
    <t>978-5-907470-08-8</t>
  </si>
  <si>
    <t>00-К0026541</t>
  </si>
  <si>
    <t>ИИ "Искусственный интеллект и экономика"</t>
  </si>
  <si>
    <t>_00-К0026541</t>
  </si>
  <si>
    <t>978-5-907394-25-4</t>
  </si>
  <si>
    <t>00-К0020937</t>
  </si>
  <si>
    <t>Аджей Агравал, Джошуа Ганс, Ави Голдварб</t>
  </si>
  <si>
    <t>ИИ "Искусственный интеллект на службе бизнеса"</t>
  </si>
  <si>
    <t>_00-К0020937</t>
  </si>
  <si>
    <t>978-5-00146-561-4</t>
  </si>
  <si>
    <t>00-К0026566</t>
  </si>
  <si>
    <t>Гэри Маркус, Дэвис Эрнест</t>
  </si>
  <si>
    <t>ИИ "Искусственный интеллект: Перезагрузка : Как создать машинный разум, которому действительно можно доверять"</t>
  </si>
  <si>
    <t>_00-К0026566</t>
  </si>
  <si>
    <t>978-5-907394-23-0</t>
  </si>
  <si>
    <t>00-К0026538</t>
  </si>
  <si>
    <t>Ян Лекун</t>
  </si>
  <si>
    <t>ИИ "Как учится машина: Революция в области нейронных сетей и глубокого обучения"</t>
  </si>
  <si>
    <t>_00-К0026538</t>
  </si>
  <si>
    <t>978-5-907394-29-2</t>
  </si>
  <si>
    <t>00-К0020939</t>
  </si>
  <si>
    <t>Эндрю Макафи</t>
  </si>
  <si>
    <t>ИИ "Машина, платформа, толпа"</t>
  </si>
  <si>
    <t>_00-К0020939</t>
  </si>
  <si>
    <t>978-5-00146-560-7</t>
  </si>
  <si>
    <t>СБРФ</t>
  </si>
  <si>
    <t>Баранов И.Н., Юрченков В.И.</t>
  </si>
  <si>
    <t>Словарь-справочник «Корпоративное обучение для цифрового мира (3-е издание)», под ред. Баранова И.Н. и Юрченкова В.И.</t>
  </si>
  <si>
    <t>АНО ДПО «Корпоративный университет Сбербанка»</t>
  </si>
  <si>
    <t>_СБРФ_слов</t>
  </si>
  <si>
    <t>978-5-6046272-0-4</t>
  </si>
  <si>
    <t>11. Книги на английском языке</t>
  </si>
  <si>
    <t>11.01. Главные книги раздела</t>
  </si>
  <si>
    <t>Shchepin Evgeny</t>
  </si>
  <si>
    <t>Diving Into the Red Ocean: How to Break the Rules of Retail and Come Out on Top</t>
  </si>
  <si>
    <t>Alpina Publisher</t>
  </si>
  <si>
    <t>Пер. с рус.</t>
  </si>
  <si>
    <t>AMM2102169-P</t>
  </si>
  <si>
    <t>978-5-9614-7188-5</t>
  </si>
  <si>
    <t>Reshetun Alexey</t>
  </si>
  <si>
    <t>If These Bodies Could Talk: True Tales of a Medical Examiner</t>
  </si>
  <si>
    <t>AMM2012124-P</t>
  </si>
  <si>
    <t>978-5-9614-7201-1</t>
  </si>
  <si>
    <t>12. Комплекты</t>
  </si>
  <si>
    <t>12.01 Главные книги раздела</t>
  </si>
  <si>
    <t>Девушка с деньгами (комплект) [Девушка с деньгами; Девушка с деньгами рабочая тетрадь]</t>
  </si>
  <si>
    <t>AAA2210002-C</t>
  </si>
  <si>
    <t>978-5-9614-8352-9</t>
  </si>
  <si>
    <t>13. Книги на казахском языке</t>
  </si>
  <si>
    <t>13.1. Главные книги раздела</t>
  </si>
  <si>
    <t>Принц Гарри Герцог Сассекский</t>
  </si>
  <si>
    <t>Қосалқы</t>
  </si>
  <si>
    <t>ZGZ2401029-P</t>
  </si>
  <si>
    <t>978-601-7147-87-7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</si>
</sst>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&quot;"/>
  </numFmts>
  <fonts count="9" x14ac:knownFonts="1">
    <font>
      <sz val="8"/>
      <name val="Arial"/>
    </font>
    <font>
      <sz val="9"/>
      <color rgb="FF808080"/>
      <name val="Arial"/>
      <family val="2"/>
    </font>
    <font>
      <u/>
      <sz val="8"/>
      <color rgb="FF0000FF"/>
      <name val="Arial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</font>
    <font>
      <b/>
      <sz val="11"/>
      <name val="Arial"/>
      <family val="2"/>
    </font>
    <font>
      <b/>
      <sz val="8"/>
      <name val="Arial"/>
    </font>
    <font>
      <u/>
      <sz val="8"/>
      <color theme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C0C0C0"/>
        <bgColor auto="1"/>
      </patternFill>
    </fill>
    <fill>
      <patternFill patternType="solid">
        <fgColor rgb="FFFFA500"/>
        <bgColor auto="1"/>
      </patternFill>
    </fill>
    <fill>
      <patternFill patternType="solid">
        <fgColor rgb="FF3AAF75"/>
        <bgColor auto="1"/>
      </patternFill>
    </fill>
    <fill>
      <patternFill patternType="solid">
        <fgColor rgb="FF33CCCC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00BFFF"/>
        <bgColor auto="1"/>
      </patternFill>
    </fill>
    <fill>
      <patternFill patternType="solid">
        <fgColor rgb="FFFFE4C4"/>
        <bgColor auto="1"/>
      </patternFill>
    </fill>
    <fill>
      <patternFill patternType="solid">
        <fgColor rgb="FFEBF1DE"/>
        <bgColor auto="1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5E5E5E"/>
      </left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 style="thin">
        <color rgb="FF5E5E5E"/>
      </right>
      <top style="thin">
        <color rgb="FF5E5E5E"/>
      </top>
      <bottom style="thin">
        <color rgb="FF5E5E5E"/>
      </bottom>
      <diagonal/>
    </border>
    <border>
      <left style="thin">
        <color rgb="FF5E5E5E"/>
      </left>
      <right style="thin">
        <color rgb="FF5E5E5E"/>
      </right>
      <top style="thin">
        <color rgb="FF5E5E5E"/>
      </top>
      <bottom style="thin">
        <color rgb="FF5E5E5E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/>
    </xf>
    <xf numFmtId="0" fontId="0" fillId="0" borderId="7" xfId="0" applyBorder="1" applyAlignment="1">
      <alignment horizontal="right" vertical="top" wrapText="1"/>
    </xf>
    <xf numFmtId="1" fontId="0" fillId="0" borderId="7" xfId="0" applyNumberFormat="1" applyBorder="1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2" fontId="0" fillId="0" borderId="7" xfId="0" applyNumberFormat="1" applyBorder="1" applyAlignment="1">
      <alignment horizontal="right" vertical="top" wrapText="1"/>
    </xf>
    <xf numFmtId="3" fontId="0" fillId="0" borderId="7" xfId="0" applyNumberFormat="1" applyBorder="1" applyAlignment="1">
      <alignment horizontal="right" vertical="top" wrapText="1"/>
    </xf>
    <xf numFmtId="0" fontId="6" fillId="5" borderId="7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/>
    </xf>
    <xf numFmtId="0" fontId="6" fillId="7" borderId="7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7" fillId="8" borderId="7" xfId="0" applyFont="1" applyFill="1" applyBorder="1" applyAlignment="1">
      <alignment horizontal="left" vertical="top"/>
    </xf>
    <xf numFmtId="0" fontId="0" fillId="9" borderId="7" xfId="0" applyFill="1" applyBorder="1" applyAlignment="1">
      <alignment horizontal="right" vertical="top" wrapText="1"/>
    </xf>
    <xf numFmtId="1" fontId="0" fillId="9" borderId="7" xfId="0" applyNumberForma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2" fontId="0" fillId="9" borderId="7" xfId="0" applyNumberFormat="1" applyFill="1" applyBorder="1" applyAlignment="1">
      <alignment horizontal="right" vertical="top" wrapText="1"/>
    </xf>
    <xf numFmtId="3" fontId="0" fillId="9" borderId="7" xfId="0" applyNumberFormat="1" applyFill="1" applyBorder="1" applyAlignment="1">
      <alignment horizontal="right" vertical="top" wrapText="1"/>
    </xf>
    <xf numFmtId="0" fontId="0" fillId="10" borderId="7" xfId="0" applyFill="1" applyBorder="1" applyAlignment="1">
      <alignment horizontal="right" vertical="top" wrapText="1"/>
    </xf>
    <xf numFmtId="1" fontId="0" fillId="10" borderId="7" xfId="0" applyNumberFormat="1" applyFill="1" applyBorder="1" applyAlignment="1">
      <alignment horizontal="right" vertical="top" wrapText="1"/>
    </xf>
    <xf numFmtId="3" fontId="0" fillId="10" borderId="7" xfId="0" applyNumberFormat="1" applyFill="1" applyBorder="1" applyAlignment="1">
      <alignment horizontal="right" vertical="top" wrapText="1"/>
    </xf>
    <xf numFmtId="0" fontId="0" fillId="10" borderId="7" xfId="0" applyFill="1" applyBorder="1" applyAlignment="1">
      <alignment horizontal="left" vertical="top" wrapText="1"/>
    </xf>
    <xf numFmtId="2" fontId="0" fillId="10" borderId="7" xfId="0" applyNumberFormat="1" applyFill="1" applyBorder="1" applyAlignment="1">
      <alignment horizontal="right" vertical="top" wrapText="1"/>
    </xf>
    <xf numFmtId="164" fontId="0" fillId="10" borderId="7" xfId="0" applyNumberFormat="1" applyFill="1" applyBorder="1" applyAlignment="1">
      <alignment horizontal="right" vertical="top" wrapText="1"/>
    </xf>
    <xf numFmtId="0" fontId="8" fillId="0" borderId="0" xfId="1" applyAlignment="1">
      <alignment horizontal="left"/>
    </xf>
    <xf numFmtId="0" fontId="8" fillId="0" borderId="7" xfId="1" applyBorder="1" applyAlignment="1">
      <alignment horizontal="left" vertical="top"/>
    </xf>
    <xf numFmtId="0" fontId="8" fillId="0" borderId="7" xfId="1" applyBorder="1" applyAlignment="1">
      <alignment horizontal="left" vertical="top" wrapText="1"/>
    </xf>
    <xf numFmtId="0" fontId="8" fillId="9" borderId="7" xfId="1" applyFill="1" applyBorder="1" applyAlignment="1">
      <alignment horizontal="left" vertical="top"/>
    </xf>
    <xf numFmtId="0" fontId="8" fillId="9" borderId="7" xfId="1" applyFill="1" applyBorder="1" applyAlignment="1">
      <alignment horizontal="left" vertical="top" wrapText="1"/>
    </xf>
    <xf numFmtId="0" fontId="8" fillId="10" borderId="7" xfId="1" applyFill="1" applyBorder="1" applyAlignment="1">
      <alignment horizontal="left" vertical="top"/>
    </xf>
    <xf numFmtId="0" fontId="8" fillId="10" borderId="7" xfId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 indent="2"/>
    </xf>
    <xf numFmtId="0" fontId="7" fillId="8" borderId="7" xfId="0" applyFont="1" applyFill="1" applyBorder="1" applyAlignment="1">
      <alignment horizontal="left" vertical="top" wrapText="1" indent="4"/>
    </xf>
    <xf numFmtId="0" fontId="8" fillId="2" borderId="1" xfId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7" borderId="7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1" fillId="2" borderId="2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13</xdr:col>
      <xdr:colOff>142875</xdr:colOff>
      <xdr:row>10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X2612"/>
  <sheetViews>
    <sheetView tabSelected="1" zoomScale="80" zoomScaleNormal="80" workbookViewId="0"/>
  </sheetViews>
  <sheetFormatPr defaultColWidth="10.5" defaultRowHeight="11.45" customHeight="1" outlineLevelRow="3" x14ac:dyDescent="0.2"/>
  <cols>
    <col min="1" max="1" width="5.6640625" style="1" customWidth="1"/>
    <col min="2" max="3" width="10.5" style="1" customWidth="1"/>
    <col min="4" max="4" width="7.33203125" style="1" customWidth="1"/>
    <col min="5" max="5" width="12.6640625" style="1" customWidth="1"/>
    <col min="6" max="6" width="52.83203125" style="1" customWidth="1"/>
    <col min="7" max="7" width="13.5" style="1" customWidth="1"/>
    <col min="8" max="9" width="10.5" style="1" customWidth="1"/>
    <col min="10" max="10" width="14.6640625" style="1" hidden="1" customWidth="1"/>
    <col min="11" max="11" width="14.5" style="1" customWidth="1"/>
    <col min="12" max="12" width="17.1640625" style="1" customWidth="1"/>
    <col min="13" max="13" width="5.5" style="1" customWidth="1"/>
    <col min="14" max="14" width="5" style="1" customWidth="1"/>
    <col min="15" max="15" width="8.1640625" style="1" customWidth="1"/>
    <col min="16" max="16" width="8" style="1" customWidth="1"/>
    <col min="17" max="17" width="4.1640625" style="1" customWidth="1"/>
    <col min="18" max="18" width="10.5" style="1" customWidth="1"/>
    <col min="19" max="19" width="19" style="1" customWidth="1"/>
    <col min="20" max="20" width="6.83203125" style="1" customWidth="1"/>
    <col min="21" max="21" width="13.1640625" style="1" customWidth="1"/>
    <col min="22" max="23" width="5.6640625" style="1" customWidth="1"/>
    <col min="24" max="24" width="11" style="1" customWidth="1"/>
    <col min="25" max="25" width="12" style="1" customWidth="1"/>
    <col min="26" max="26" width="12.6640625" style="1" customWidth="1"/>
    <col min="27" max="30" width="10.5" style="1" hidden="1" customWidth="1"/>
    <col min="31" max="31" width="10.1640625" style="1" hidden="1" customWidth="1"/>
    <col min="32" max="50" width="0" hidden="1" customWidth="1"/>
  </cols>
  <sheetData>
    <row r="1" spans="1:31" s="1" customFormat="1" ht="12" customHeight="1" x14ac:dyDescent="0.2">
      <c r="A1" s="32" t="str">
        <f>HYPERLINK("#R19C1","НОВИНКИ Апрель 2025")</f>
        <v>НОВИНКИ Апрель 2025</v>
      </c>
    </row>
    <row r="2" spans="1:31" s="1" customFormat="1" ht="12" customHeight="1" x14ac:dyDescent="0.2">
      <c r="A2" s="41" t="str">
        <f>HYPERLINK("#R60C1","СНОВА В ПРОДАЖЕ Апрель 2025")</f>
        <v>СНОВА В ПРОДАЖЕ Апрель 2025</v>
      </c>
      <c r="B2" s="51"/>
      <c r="C2" s="51"/>
      <c r="D2" s="51"/>
      <c r="E2" s="51"/>
      <c r="O2" s="2"/>
      <c r="P2" s="2"/>
      <c r="Q2" s="2"/>
      <c r="R2" s="2"/>
      <c r="S2" s="3"/>
      <c r="T2" s="52" t="s">
        <v>0</v>
      </c>
      <c r="U2" s="52"/>
      <c r="V2" s="4"/>
      <c r="W2" s="4"/>
      <c r="X2" s="4"/>
      <c r="Y2" s="4"/>
      <c r="Z2" s="4"/>
      <c r="AE2" s="4"/>
    </row>
    <row r="3" spans="1:31" s="1" customFormat="1" ht="12" customHeight="1" x14ac:dyDescent="0.2">
      <c r="A3" s="41" t="str">
        <f>HYPERLINK("#R209C1","БЕСТСЕЛЛЕРЫ")</f>
        <v>БЕСТСЕЛЛЕРЫ</v>
      </c>
      <c r="B3" s="42"/>
      <c r="C3" s="42"/>
      <c r="D3" s="42"/>
      <c r="E3" s="42"/>
      <c r="P3" s="5" t="s">
        <v>1</v>
      </c>
      <c r="Q3" s="6"/>
      <c r="R3" s="6"/>
      <c r="S3" s="7"/>
      <c r="T3" s="44" t="s">
        <v>2</v>
      </c>
      <c r="U3" s="44"/>
    </row>
    <row r="4" spans="1:31" s="1" customFormat="1" ht="12" customHeight="1" x14ac:dyDescent="0.2">
      <c r="A4" s="41" t="str">
        <f>HYPERLINK("#R247C1","КАТАЛОГ")</f>
        <v>КАТАЛОГ</v>
      </c>
      <c r="B4" s="42"/>
      <c r="C4" s="42"/>
      <c r="D4" s="42"/>
      <c r="E4" s="42"/>
      <c r="P4" s="43" t="s">
        <v>3</v>
      </c>
      <c r="Q4" s="43"/>
      <c r="R4" s="43"/>
      <c r="S4" s="43"/>
      <c r="T4" s="44">
        <f>SUM($AU$18:$AU$2612)</f>
        <v>0</v>
      </c>
      <c r="U4" s="44"/>
    </row>
    <row r="5" spans="1:31" s="1" customFormat="1" ht="12" customHeight="1" x14ac:dyDescent="0.2">
      <c r="A5" s="41" t="str">
        <f>HYPERLINK("#R251C1","01. Популярная психология, саморазвитие, личная эффективность")</f>
        <v>01. Популярная психология, саморазвитие, личная эффективность</v>
      </c>
      <c r="B5" s="42"/>
      <c r="C5" s="42"/>
      <c r="D5" s="42"/>
      <c r="E5" s="42"/>
      <c r="P5" s="43" t="s">
        <v>4</v>
      </c>
      <c r="Q5" s="43"/>
      <c r="R5" s="43"/>
      <c r="S5" s="43"/>
      <c r="T5" s="44">
        <f>SUM($AT$18:$AT$2612)</f>
        <v>0</v>
      </c>
      <c r="U5" s="44"/>
    </row>
    <row r="6" spans="1:31" s="1" customFormat="1" ht="12" customHeight="1" x14ac:dyDescent="0.2">
      <c r="A6" s="41" t="str">
        <f>HYPERLINK("#R650C1","02. Писательское мастерство, креативность и творчество")</f>
        <v>02. Писательское мастерство, креативность и творчество</v>
      </c>
      <c r="B6" s="42"/>
      <c r="C6" s="42"/>
      <c r="D6" s="42"/>
      <c r="E6" s="42"/>
      <c r="P6" s="43" t="s">
        <v>5</v>
      </c>
      <c r="Q6" s="43"/>
      <c r="R6" s="43"/>
      <c r="S6" s="43"/>
      <c r="T6" s="44">
        <f>SUM($A$18:$A$2612)</f>
        <v>0</v>
      </c>
      <c r="U6" s="44"/>
    </row>
    <row r="7" spans="1:31" s="1" customFormat="1" ht="12" customHeight="1" x14ac:dyDescent="0.2">
      <c r="A7" s="41" t="str">
        <f>HYPERLINK("#R711C1","03. Научно-популярные книги")</f>
        <v>03. Научно-популярные книги</v>
      </c>
      <c r="B7" s="42"/>
      <c r="C7" s="42"/>
      <c r="D7" s="42"/>
      <c r="E7" s="42"/>
      <c r="P7" s="43" t="s">
        <v>6</v>
      </c>
      <c r="Q7" s="43"/>
      <c r="R7" s="43"/>
      <c r="S7" s="43"/>
      <c r="T7" s="44">
        <f>SUM($AW$18:$AW$2612)</f>
        <v>0</v>
      </c>
      <c r="U7" s="44"/>
    </row>
    <row r="8" spans="1:31" s="1" customFormat="1" ht="12" customHeight="1" x14ac:dyDescent="0.2">
      <c r="A8" s="41" t="str">
        <f>HYPERLINK("#R1213C1","04. Бизнес")</f>
        <v>04. Бизнес</v>
      </c>
      <c r="B8" s="42"/>
      <c r="C8" s="42"/>
      <c r="D8" s="42"/>
      <c r="E8" s="42"/>
      <c r="P8" s="43" t="s">
        <v>7</v>
      </c>
      <c r="Q8" s="43"/>
      <c r="R8" s="43"/>
      <c r="S8" s="43"/>
      <c r="T8" s="44">
        <f>SUM($AX$18:$AX$2612)</f>
        <v>0</v>
      </c>
      <c r="U8" s="44"/>
    </row>
    <row r="9" spans="1:31" s="1" customFormat="1" ht="12" customHeight="1" x14ac:dyDescent="0.2">
      <c r="A9" s="41" t="str">
        <f>HYPERLINK("#R1547C1","05. Инвестиции, финансы, право")</f>
        <v>05. Инвестиции, финансы, право</v>
      </c>
      <c r="B9" s="42"/>
      <c r="C9" s="42"/>
      <c r="D9" s="42"/>
      <c r="E9" s="42"/>
      <c r="P9" s="43" t="s">
        <v>8</v>
      </c>
      <c r="Q9" s="43"/>
      <c r="R9" s="43"/>
      <c r="S9" s="43"/>
      <c r="T9" s="44">
        <f>SUM($AV$18:$AV$2612)</f>
        <v>0</v>
      </c>
      <c r="U9" s="44"/>
    </row>
    <row r="10" spans="1:31" s="1" customFormat="1" ht="12" customHeight="1" x14ac:dyDescent="0.2">
      <c r="A10" s="32" t="str">
        <f>HYPERLINK("#R1642C1","06. Стиль жизни")</f>
        <v>06. Стиль жизни</v>
      </c>
      <c r="O10" s="4"/>
      <c r="P10" s="4"/>
      <c r="Q10" s="4"/>
      <c r="R10" s="4"/>
      <c r="S10" s="4"/>
    </row>
    <row r="11" spans="1:31" s="1" customFormat="1" ht="12" customHeight="1" x14ac:dyDescent="0.2">
      <c r="A11" s="32" t="str">
        <f>HYPERLINK("#R1683C1","07. Книги для детей")</f>
        <v>07. Книги для детей</v>
      </c>
      <c r="O11" s="4"/>
      <c r="P11" s="4"/>
      <c r="Q11" s="4"/>
      <c r="R11" s="4"/>
      <c r="S11" s="4"/>
    </row>
    <row r="12" spans="1:31" s="1" customFormat="1" ht="12" customHeight="1" x14ac:dyDescent="0.2">
      <c r="A12" s="32" t="str">
        <f>HYPERLINK("#R2131C1","08. Книги для родителей и педагогов")</f>
        <v>08. Книги для родителей и педагогов</v>
      </c>
      <c r="O12" s="4"/>
      <c r="P12" s="4"/>
      <c r="Q12" s="4"/>
      <c r="R12" s="4"/>
      <c r="S12" s="4"/>
    </row>
    <row r="13" spans="1:31" s="1" customFormat="1" ht="12" customHeight="1" x14ac:dyDescent="0.2">
      <c r="A13" s="32" t="str">
        <f>HYPERLINK("#R2193C1","09. Художественная литература")</f>
        <v>09. Художественная литература</v>
      </c>
      <c r="F13" s="45" t="s">
        <v>9</v>
      </c>
      <c r="G13" s="45"/>
      <c r="H13" s="45"/>
      <c r="I13" s="45"/>
      <c r="J13" s="45"/>
      <c r="K13" s="45"/>
      <c r="L13" s="45"/>
      <c r="M13" s="45"/>
      <c r="O13" s="4"/>
      <c r="P13" s="4"/>
      <c r="Q13" s="4"/>
      <c r="R13" s="4"/>
      <c r="S13" s="4"/>
    </row>
    <row r="14" spans="1:31" s="1" customFormat="1" ht="12" customHeight="1" x14ac:dyDescent="0.2">
      <c r="A14" s="32" t="str">
        <f>HYPERLINK("#R2492C1","10. Библиотека Сбербанка")</f>
        <v>10. Библиотека Сбербанка</v>
      </c>
      <c r="F14" s="46"/>
      <c r="G14" s="46"/>
      <c r="H14" s="46"/>
      <c r="I14" s="46"/>
      <c r="J14" s="46"/>
      <c r="K14" s="46"/>
      <c r="L14" s="46"/>
      <c r="M14" s="46"/>
      <c r="O14" s="4"/>
      <c r="P14" s="4"/>
      <c r="Q14" s="4"/>
      <c r="R14" s="4"/>
      <c r="S14" s="4"/>
    </row>
    <row r="15" spans="1:31" s="1" customFormat="1" ht="12" customHeight="1" x14ac:dyDescent="0.2">
      <c r="A15" s="32" t="str">
        <f>HYPERLINK("#R2603C1","11. Книги на английском языке")</f>
        <v>11. Книги на английском языке</v>
      </c>
      <c r="F15" s="46"/>
      <c r="G15" s="46"/>
      <c r="H15" s="46"/>
      <c r="I15" s="46"/>
      <c r="J15" s="46"/>
      <c r="K15" s="46"/>
      <c r="L15" s="46"/>
      <c r="M15" s="46"/>
    </row>
    <row r="16" spans="1:31" s="1" customFormat="1" ht="12" customHeight="1" x14ac:dyDescent="0.2">
      <c r="A16" s="32" t="str">
        <f>HYPERLINK("#R2607C1","12. Комплекты")</f>
        <v>12. Комплекты</v>
      </c>
      <c r="F16" s="2"/>
    </row>
    <row r="17" spans="1:50" s="1" customFormat="1" ht="12" customHeight="1" x14ac:dyDescent="0.2">
      <c r="A17" s="32" t="str">
        <f>HYPERLINK("#R2610C1","13. Книги на казахском языке")</f>
        <v>13. Книги на казахском языке</v>
      </c>
      <c r="F17" s="2"/>
    </row>
    <row r="18" spans="1:50" ht="66.95" customHeight="1" x14ac:dyDescent="0.2">
      <c r="A18" s="8" t="s">
        <v>10</v>
      </c>
      <c r="B18" s="9" t="s">
        <v>11</v>
      </c>
      <c r="C18" s="9" t="s">
        <v>12</v>
      </c>
      <c r="D18" s="9" t="s">
        <v>13</v>
      </c>
      <c r="E18" s="8" t="s">
        <v>14</v>
      </c>
      <c r="F18" s="8" t="s">
        <v>15</v>
      </c>
      <c r="G18" s="8" t="s">
        <v>16</v>
      </c>
      <c r="H18" s="8" t="s">
        <v>17</v>
      </c>
      <c r="I18" s="9" t="s">
        <v>18</v>
      </c>
      <c r="J18" s="8" t="s">
        <v>19</v>
      </c>
      <c r="K18" s="8" t="s">
        <v>20</v>
      </c>
      <c r="L18" s="8" t="s">
        <v>21</v>
      </c>
      <c r="M18" s="8" t="s">
        <v>22</v>
      </c>
      <c r="N18" s="9" t="s">
        <v>23</v>
      </c>
      <c r="O18" s="9" t="s">
        <v>24</v>
      </c>
      <c r="P18" s="9" t="s">
        <v>25</v>
      </c>
      <c r="Q18" s="8" t="s">
        <v>26</v>
      </c>
      <c r="R18" s="8" t="s">
        <v>27</v>
      </c>
      <c r="S18" s="8" t="s">
        <v>28</v>
      </c>
      <c r="T18" s="8" t="s">
        <v>29</v>
      </c>
      <c r="U18" s="9" t="s">
        <v>30</v>
      </c>
      <c r="V18" s="9" t="s">
        <v>31</v>
      </c>
      <c r="W18" s="9" t="s">
        <v>32</v>
      </c>
      <c r="X18" s="9" t="s">
        <v>33</v>
      </c>
      <c r="Y18" s="9" t="s">
        <v>34</v>
      </c>
      <c r="Z18" s="9" t="s">
        <v>35</v>
      </c>
      <c r="AE18" s="9"/>
    </row>
    <row r="19" spans="1:50" ht="15" customHeight="1" x14ac:dyDescent="0.2">
      <c r="A19" s="47" t="s">
        <v>36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0"/>
    </row>
    <row r="20" spans="1:50" s="1" customFormat="1" ht="24.95" customHeight="1" outlineLevel="1" x14ac:dyDescent="0.2">
      <c r="A20" s="11"/>
      <c r="B20" s="12">
        <v>690</v>
      </c>
      <c r="C20" s="12">
        <v>990</v>
      </c>
      <c r="D20" s="12">
        <v>33199</v>
      </c>
      <c r="E20" s="13" t="s">
        <v>37</v>
      </c>
      <c r="F20" s="13" t="s">
        <v>38</v>
      </c>
      <c r="G20" s="13" t="s">
        <v>39</v>
      </c>
      <c r="H20" s="13" t="s">
        <v>40</v>
      </c>
      <c r="I20" s="12">
        <v>2025</v>
      </c>
      <c r="J20" s="13" t="s">
        <v>41</v>
      </c>
      <c r="K20" s="12">
        <v>9785002235452</v>
      </c>
      <c r="L20" s="13" t="s">
        <v>42</v>
      </c>
      <c r="M20" s="12">
        <v>368</v>
      </c>
      <c r="N20" s="14">
        <v>0.32</v>
      </c>
      <c r="O20" s="12">
        <v>140</v>
      </c>
      <c r="P20" s="12">
        <v>210</v>
      </c>
      <c r="Q20" s="12">
        <v>10</v>
      </c>
      <c r="R20" s="13" t="s">
        <v>43</v>
      </c>
      <c r="S20" s="13"/>
      <c r="T20" s="15">
        <v>1000</v>
      </c>
      <c r="U20" s="13" t="s">
        <v>44</v>
      </c>
      <c r="V20" s="13" t="s">
        <v>45</v>
      </c>
      <c r="W20" s="12">
        <v>10</v>
      </c>
      <c r="X20" s="33" t="str">
        <f>HYPERLINK("https://www.alpinabook.ru/catalog/book-laviniya","ссылка на книгу")</f>
        <v>ссылка на книгу</v>
      </c>
      <c r="Y20" s="34" t="str">
        <f>HYPERLINK("https://api-enni.alpina.ru/FilePrivilegesApproval/197","https://api-enni.alpina.ru/FilePrivilegesApproval/197")</f>
        <v>https://api-enni.alpina.ru/FilePrivilegesApproval/197</v>
      </c>
      <c r="Z20" s="13" t="s">
        <v>46</v>
      </c>
      <c r="AT20" s="1">
        <f t="shared" ref="AT20:AT59" si="0">IF($A20&lt;&gt;0,1,0)</f>
        <v>0</v>
      </c>
      <c r="AU20" s="1">
        <f t="shared" ref="AU20:AU59" si="1">$A20*$B20</f>
        <v>0</v>
      </c>
      <c r="AV20" s="1">
        <f t="shared" ref="AV20:AV59" si="2">$A20*$N20</f>
        <v>0</v>
      </c>
      <c r="AW20" s="1">
        <f t="shared" ref="AW20:AW59" si="3">IF($Q20=0,0,INT($A20/$Q20))</f>
        <v>0</v>
      </c>
      <c r="AX20" s="1">
        <f t="shared" ref="AX20:AX59" si="4">$A20-$AW20*$Q20</f>
        <v>0</v>
      </c>
    </row>
    <row r="21" spans="1:50" s="1" customFormat="1" ht="21.95" customHeight="1" outlineLevel="1" x14ac:dyDescent="0.2">
      <c r="A21" s="11"/>
      <c r="B21" s="12">
        <v>740</v>
      </c>
      <c r="C21" s="15">
        <v>1090</v>
      </c>
      <c r="D21" s="12">
        <v>33030</v>
      </c>
      <c r="E21" s="13" t="s">
        <v>47</v>
      </c>
      <c r="F21" s="13" t="s">
        <v>48</v>
      </c>
      <c r="G21" s="13" t="s">
        <v>49</v>
      </c>
      <c r="H21" s="13"/>
      <c r="I21" s="12">
        <v>2025</v>
      </c>
      <c r="J21" s="13" t="s">
        <v>50</v>
      </c>
      <c r="K21" s="12">
        <v>9786018223006</v>
      </c>
      <c r="L21" s="13" t="s">
        <v>51</v>
      </c>
      <c r="M21" s="12">
        <v>192</v>
      </c>
      <c r="N21" s="14">
        <v>0.33</v>
      </c>
      <c r="O21" s="12">
        <v>150</v>
      </c>
      <c r="P21" s="12">
        <v>220</v>
      </c>
      <c r="Q21" s="12">
        <v>8</v>
      </c>
      <c r="R21" s="13" t="s">
        <v>43</v>
      </c>
      <c r="S21" s="13"/>
      <c r="T21" s="15">
        <v>1000</v>
      </c>
      <c r="U21" s="13" t="s">
        <v>52</v>
      </c>
      <c r="V21" s="13" t="s">
        <v>45</v>
      </c>
      <c r="W21" s="12">
        <v>20</v>
      </c>
      <c r="X21" s="33" t="str">
        <f>HYPERLINK("https://www.alpinabook.ru/catalog/book-belasagun","ссылка на книгу")</f>
        <v>ссылка на книгу</v>
      </c>
      <c r="Y21" s="34" t="str">
        <f>HYPERLINK("","")</f>
        <v/>
      </c>
      <c r="Z21" s="13" t="s">
        <v>53</v>
      </c>
      <c r="AT21" s="1">
        <f t="shared" si="0"/>
        <v>0</v>
      </c>
      <c r="AU21" s="1">
        <f t="shared" si="1"/>
        <v>0</v>
      </c>
      <c r="AV21" s="1">
        <f t="shared" si="2"/>
        <v>0</v>
      </c>
      <c r="AW21" s="1">
        <f t="shared" si="3"/>
        <v>0</v>
      </c>
      <c r="AX21" s="1">
        <f t="shared" si="4"/>
        <v>0</v>
      </c>
    </row>
    <row r="22" spans="1:50" s="1" customFormat="1" ht="24.95" customHeight="1" outlineLevel="1" x14ac:dyDescent="0.2">
      <c r="A22" s="11"/>
      <c r="B22" s="12">
        <v>690</v>
      </c>
      <c r="C22" s="12">
        <v>990</v>
      </c>
      <c r="D22" s="12">
        <v>31235</v>
      </c>
      <c r="E22" s="13" t="s">
        <v>54</v>
      </c>
      <c r="F22" s="13" t="s">
        <v>55</v>
      </c>
      <c r="G22" s="13" t="s">
        <v>56</v>
      </c>
      <c r="H22" s="13"/>
      <c r="I22" s="12">
        <v>2024</v>
      </c>
      <c r="J22" s="13" t="s">
        <v>57</v>
      </c>
      <c r="K22" s="12">
        <v>9785961497946</v>
      </c>
      <c r="L22" s="13" t="s">
        <v>58</v>
      </c>
      <c r="M22" s="12">
        <v>208</v>
      </c>
      <c r="N22" s="14">
        <v>0.35</v>
      </c>
      <c r="O22" s="12">
        <v>150</v>
      </c>
      <c r="P22" s="12">
        <v>220</v>
      </c>
      <c r="Q22" s="12">
        <v>10</v>
      </c>
      <c r="R22" s="13" t="s">
        <v>43</v>
      </c>
      <c r="S22" s="13"/>
      <c r="T22" s="15">
        <v>1000</v>
      </c>
      <c r="U22" s="13" t="s">
        <v>52</v>
      </c>
      <c r="V22" s="13" t="s">
        <v>59</v>
      </c>
      <c r="W22" s="12">
        <v>10</v>
      </c>
      <c r="X22" s="33" t="str">
        <f>HYPERLINK("https://www.alpinabook.ru/catalog/book-biznes-v-stile-makdonalds","ссылка на книгу")</f>
        <v>ссылка на книгу</v>
      </c>
      <c r="Y22" s="34" t="str">
        <f>HYPERLINK("https://api-enni.alpina.ru/FilePrivilegesApproval/132","https://api-enni.alpina.ru/FilePrivilegesApproval/132")</f>
        <v>https://api-enni.alpina.ru/FilePrivilegesApproval/132</v>
      </c>
      <c r="Z22" s="13"/>
      <c r="AT22" s="1">
        <f t="shared" si="0"/>
        <v>0</v>
      </c>
      <c r="AU22" s="1">
        <f t="shared" si="1"/>
        <v>0</v>
      </c>
      <c r="AV22" s="1">
        <f t="shared" si="2"/>
        <v>0</v>
      </c>
      <c r="AW22" s="1">
        <f t="shared" si="3"/>
        <v>0</v>
      </c>
      <c r="AX22" s="1">
        <f t="shared" si="4"/>
        <v>0</v>
      </c>
    </row>
    <row r="23" spans="1:50" s="1" customFormat="1" ht="24.95" customHeight="1" outlineLevel="1" x14ac:dyDescent="0.2">
      <c r="A23" s="11"/>
      <c r="B23" s="12">
        <v>590</v>
      </c>
      <c r="C23" s="12">
        <v>840</v>
      </c>
      <c r="D23" s="12">
        <v>33924</v>
      </c>
      <c r="E23" s="13" t="s">
        <v>60</v>
      </c>
      <c r="F23" s="13" t="s">
        <v>61</v>
      </c>
      <c r="G23" s="13" t="s">
        <v>56</v>
      </c>
      <c r="H23" s="13"/>
      <c r="I23" s="12">
        <v>2025</v>
      </c>
      <c r="J23" s="13" t="s">
        <v>62</v>
      </c>
      <c r="K23" s="12">
        <v>9785006306134</v>
      </c>
      <c r="L23" s="13" t="s">
        <v>63</v>
      </c>
      <c r="M23" s="12">
        <v>256</v>
      </c>
      <c r="N23" s="14">
        <v>0.4</v>
      </c>
      <c r="O23" s="12">
        <v>150</v>
      </c>
      <c r="P23" s="12">
        <v>220</v>
      </c>
      <c r="Q23" s="12">
        <v>8</v>
      </c>
      <c r="R23" s="13" t="s">
        <v>43</v>
      </c>
      <c r="S23" s="13"/>
      <c r="T23" s="15">
        <v>1000</v>
      </c>
      <c r="U23" s="13" t="s">
        <v>52</v>
      </c>
      <c r="V23" s="13" t="s">
        <v>64</v>
      </c>
      <c r="W23" s="12">
        <v>10</v>
      </c>
      <c r="X23" s="33" t="str">
        <f>HYPERLINK("https://www.alpinabook.ru/catalog/book-v-predvkushenii-sebya","ссылка на книгу")</f>
        <v>ссылка на книгу</v>
      </c>
      <c r="Y23" s="34" t="str">
        <f>HYPERLINK("https://api-enni.alpina.ru/FilePrivilegesApproval/2","https://api-enni.alpina.ru/FilePrivilegesApproval/2")</f>
        <v>https://api-enni.alpina.ru/FilePrivilegesApproval/2</v>
      </c>
      <c r="Z23" s="13" t="s">
        <v>65</v>
      </c>
      <c r="AT23" s="1">
        <f t="shared" si="0"/>
        <v>0</v>
      </c>
      <c r="AU23" s="1">
        <f t="shared" si="1"/>
        <v>0</v>
      </c>
      <c r="AV23" s="1">
        <f t="shared" si="2"/>
        <v>0</v>
      </c>
      <c r="AW23" s="1">
        <f t="shared" si="3"/>
        <v>0</v>
      </c>
      <c r="AX23" s="1">
        <f t="shared" si="4"/>
        <v>0</v>
      </c>
    </row>
    <row r="24" spans="1:50" s="1" customFormat="1" ht="24.95" customHeight="1" outlineLevel="1" x14ac:dyDescent="0.2">
      <c r="A24" s="11"/>
      <c r="B24" s="12">
        <v>490</v>
      </c>
      <c r="C24" s="12">
        <v>740</v>
      </c>
      <c r="D24" s="12">
        <v>33174</v>
      </c>
      <c r="E24" s="13" t="s">
        <v>66</v>
      </c>
      <c r="F24" s="13" t="s">
        <v>67</v>
      </c>
      <c r="G24" s="13" t="s">
        <v>56</v>
      </c>
      <c r="H24" s="13"/>
      <c r="I24" s="12">
        <v>2025</v>
      </c>
      <c r="J24" s="13" t="s">
        <v>68</v>
      </c>
      <c r="K24" s="12">
        <v>9785006303874</v>
      </c>
      <c r="L24" s="13" t="s">
        <v>69</v>
      </c>
      <c r="M24" s="12">
        <v>240</v>
      </c>
      <c r="N24" s="14">
        <v>0.28999999999999998</v>
      </c>
      <c r="O24" s="12">
        <v>140</v>
      </c>
      <c r="P24" s="12">
        <v>210</v>
      </c>
      <c r="Q24" s="12">
        <v>20</v>
      </c>
      <c r="R24" s="13" t="s">
        <v>43</v>
      </c>
      <c r="S24" s="13"/>
      <c r="T24" s="15">
        <v>3000</v>
      </c>
      <c r="U24" s="13" t="s">
        <v>44</v>
      </c>
      <c r="V24" s="13" t="s">
        <v>45</v>
      </c>
      <c r="W24" s="12">
        <v>10</v>
      </c>
      <c r="X24" s="33" t="str">
        <f>HYPERLINK("https://www.alpinabook.ru/catalog/book-v-tebe-est-vsye-tetrad","ссылка на книгу")</f>
        <v>ссылка на книгу</v>
      </c>
      <c r="Y24" s="34" t="str">
        <f>HYPERLINK("https://api-enni.alpina.ru/FilePrivilegesApproval/713","https://api-enni.alpina.ru/FilePrivilegesApproval/713")</f>
        <v>https://api-enni.alpina.ru/FilePrivilegesApproval/713</v>
      </c>
      <c r="Z24" s="13" t="s">
        <v>70</v>
      </c>
      <c r="AT24" s="1">
        <f t="shared" si="0"/>
        <v>0</v>
      </c>
      <c r="AU24" s="1">
        <f t="shared" si="1"/>
        <v>0</v>
      </c>
      <c r="AV24" s="1">
        <f t="shared" si="2"/>
        <v>0</v>
      </c>
      <c r="AW24" s="1">
        <f t="shared" si="3"/>
        <v>0</v>
      </c>
      <c r="AX24" s="1">
        <f t="shared" si="4"/>
        <v>0</v>
      </c>
    </row>
    <row r="25" spans="1:50" s="1" customFormat="1" ht="24.95" customHeight="1" outlineLevel="1" x14ac:dyDescent="0.2">
      <c r="A25" s="11"/>
      <c r="B25" s="12">
        <v>390</v>
      </c>
      <c r="C25" s="12">
        <v>640</v>
      </c>
      <c r="D25" s="12">
        <v>32256</v>
      </c>
      <c r="E25" s="13" t="s">
        <v>71</v>
      </c>
      <c r="F25" s="13" t="s">
        <v>72</v>
      </c>
      <c r="G25" s="13" t="s">
        <v>56</v>
      </c>
      <c r="H25" s="13"/>
      <c r="I25" s="12">
        <v>2025</v>
      </c>
      <c r="J25" s="13" t="s">
        <v>73</v>
      </c>
      <c r="K25" s="12">
        <v>9785006301726</v>
      </c>
      <c r="L25" s="13" t="s">
        <v>74</v>
      </c>
      <c r="M25" s="12">
        <v>316</v>
      </c>
      <c r="N25" s="14">
        <v>0.21</v>
      </c>
      <c r="O25" s="12">
        <v>120</v>
      </c>
      <c r="P25" s="12">
        <v>170</v>
      </c>
      <c r="Q25" s="12">
        <v>36</v>
      </c>
      <c r="R25" s="13" t="s">
        <v>75</v>
      </c>
      <c r="S25" s="13" t="s">
        <v>76</v>
      </c>
      <c r="T25" s="15">
        <v>2000</v>
      </c>
      <c r="U25" s="13" t="s">
        <v>44</v>
      </c>
      <c r="V25" s="13" t="s">
        <v>45</v>
      </c>
      <c r="W25" s="12">
        <v>10</v>
      </c>
      <c r="X25" s="33" t="str">
        <f>HYPERLINK("https://www.alpinabook.ru/catalog/book-vernut-vkus-k-zhizni","ссылка на книгу")</f>
        <v>ссылка на книгу</v>
      </c>
      <c r="Y25" s="34" t="str">
        <f>HYPERLINK("https://api-enni.alpina.ru/FilePrivilegesApproval/221","https://api-enni.alpina.ru/FilePrivilegesApproval/221")</f>
        <v>https://api-enni.alpina.ru/FilePrivilegesApproval/221</v>
      </c>
      <c r="Z25" s="13" t="s">
        <v>77</v>
      </c>
      <c r="AT25" s="1">
        <f t="shared" si="0"/>
        <v>0</v>
      </c>
      <c r="AU25" s="1">
        <f t="shared" si="1"/>
        <v>0</v>
      </c>
      <c r="AV25" s="1">
        <f t="shared" si="2"/>
        <v>0</v>
      </c>
      <c r="AW25" s="1">
        <f t="shared" si="3"/>
        <v>0</v>
      </c>
      <c r="AX25" s="1">
        <f t="shared" si="4"/>
        <v>0</v>
      </c>
    </row>
    <row r="26" spans="1:50" s="1" customFormat="1" ht="24.95" customHeight="1" outlineLevel="1" x14ac:dyDescent="0.2">
      <c r="A26" s="11"/>
      <c r="B26" s="12">
        <v>550</v>
      </c>
      <c r="C26" s="12">
        <v>790</v>
      </c>
      <c r="D26" s="12">
        <v>31639</v>
      </c>
      <c r="E26" s="13" t="s">
        <v>78</v>
      </c>
      <c r="F26" s="13" t="s">
        <v>79</v>
      </c>
      <c r="G26" s="13" t="s">
        <v>56</v>
      </c>
      <c r="H26" s="13"/>
      <c r="I26" s="12">
        <v>2025</v>
      </c>
      <c r="J26" s="13" t="s">
        <v>80</v>
      </c>
      <c r="K26" s="12">
        <v>9785961499681</v>
      </c>
      <c r="L26" s="13" t="s">
        <v>81</v>
      </c>
      <c r="M26" s="12">
        <v>265</v>
      </c>
      <c r="N26" s="14">
        <v>0.36</v>
      </c>
      <c r="O26" s="12">
        <v>140</v>
      </c>
      <c r="P26" s="12">
        <v>210</v>
      </c>
      <c r="Q26" s="12">
        <v>14</v>
      </c>
      <c r="R26" s="13" t="s">
        <v>82</v>
      </c>
      <c r="S26" s="13"/>
      <c r="T26" s="15">
        <v>3000</v>
      </c>
      <c r="U26" s="13" t="s">
        <v>52</v>
      </c>
      <c r="V26" s="13" t="s">
        <v>45</v>
      </c>
      <c r="W26" s="12">
        <v>10</v>
      </c>
      <c r="X26" s="33" t="str">
        <f>HYPERLINK("https://www.alpinabook.ru/catalog/book-god-odinokikh","ссылка на книгу")</f>
        <v>ссылка на книгу</v>
      </c>
      <c r="Y26" s="34" t="str">
        <f>HYPERLINK("https://api-enni.alpina.ru/FilePrivilegesApproval/856","https://api-enni.alpina.ru/FilePrivilegesApproval/856")</f>
        <v>https://api-enni.alpina.ru/FilePrivilegesApproval/856</v>
      </c>
      <c r="Z26" s="13" t="s">
        <v>83</v>
      </c>
      <c r="AT26" s="1">
        <f t="shared" si="0"/>
        <v>0</v>
      </c>
      <c r="AU26" s="1">
        <f t="shared" si="1"/>
        <v>0</v>
      </c>
      <c r="AV26" s="1">
        <f t="shared" si="2"/>
        <v>0</v>
      </c>
      <c r="AW26" s="1">
        <f t="shared" si="3"/>
        <v>0</v>
      </c>
      <c r="AX26" s="1">
        <f t="shared" si="4"/>
        <v>0</v>
      </c>
    </row>
    <row r="27" spans="1:50" s="1" customFormat="1" ht="24.95" customHeight="1" outlineLevel="1" x14ac:dyDescent="0.2">
      <c r="A27" s="11"/>
      <c r="B27" s="12">
        <v>390</v>
      </c>
      <c r="C27" s="12">
        <v>640</v>
      </c>
      <c r="D27" s="12">
        <v>32714</v>
      </c>
      <c r="E27" s="13" t="s">
        <v>84</v>
      </c>
      <c r="F27" s="13" t="s">
        <v>85</v>
      </c>
      <c r="G27" s="13" t="s">
        <v>86</v>
      </c>
      <c r="H27" s="13" t="s">
        <v>40</v>
      </c>
      <c r="I27" s="12">
        <v>2025</v>
      </c>
      <c r="J27" s="13" t="s">
        <v>87</v>
      </c>
      <c r="K27" s="12">
        <v>9785916719703</v>
      </c>
      <c r="L27" s="13" t="s">
        <v>88</v>
      </c>
      <c r="M27" s="12">
        <v>384</v>
      </c>
      <c r="N27" s="14">
        <v>0.25</v>
      </c>
      <c r="O27" s="12">
        <v>120</v>
      </c>
      <c r="P27" s="12">
        <v>170</v>
      </c>
      <c r="Q27" s="12">
        <v>28</v>
      </c>
      <c r="R27" s="13" t="s">
        <v>75</v>
      </c>
      <c r="S27" s="13" t="s">
        <v>76</v>
      </c>
      <c r="T27" s="15">
        <v>2000</v>
      </c>
      <c r="U27" s="13" t="s">
        <v>44</v>
      </c>
      <c r="V27" s="13" t="s">
        <v>89</v>
      </c>
      <c r="W27" s="12">
        <v>20</v>
      </c>
      <c r="X27" s="33" t="str">
        <f>HYPERLINK("https://www.alpinabook.ru/catalog/book-zhit-khorosho","ссылка на книгу")</f>
        <v>ссылка на книгу</v>
      </c>
      <c r="Y27" s="34" t="str">
        <f>HYPERLINK("","")</f>
        <v/>
      </c>
      <c r="Z27" s="13" t="s">
        <v>77</v>
      </c>
      <c r="AT27" s="1">
        <f t="shared" si="0"/>
        <v>0</v>
      </c>
      <c r="AU27" s="1">
        <f t="shared" si="1"/>
        <v>0</v>
      </c>
      <c r="AV27" s="1">
        <f t="shared" si="2"/>
        <v>0</v>
      </c>
      <c r="AW27" s="1">
        <f t="shared" si="3"/>
        <v>0</v>
      </c>
      <c r="AX27" s="1">
        <f t="shared" si="4"/>
        <v>0</v>
      </c>
    </row>
    <row r="28" spans="1:50" s="1" customFormat="1" ht="24.95" customHeight="1" outlineLevel="1" x14ac:dyDescent="0.2">
      <c r="A28" s="11"/>
      <c r="B28" s="12">
        <v>990</v>
      </c>
      <c r="C28" s="15">
        <v>1490</v>
      </c>
      <c r="D28" s="12">
        <v>33473</v>
      </c>
      <c r="E28" s="13" t="s">
        <v>90</v>
      </c>
      <c r="F28" s="13" t="s">
        <v>91</v>
      </c>
      <c r="G28" s="13" t="s">
        <v>86</v>
      </c>
      <c r="H28" s="13"/>
      <c r="I28" s="12">
        <v>2025</v>
      </c>
      <c r="J28" s="13" t="s">
        <v>92</v>
      </c>
      <c r="K28" s="12">
        <v>9785002235773</v>
      </c>
      <c r="L28" s="13" t="s">
        <v>93</v>
      </c>
      <c r="M28" s="12">
        <v>515</v>
      </c>
      <c r="N28" s="14">
        <v>0.69</v>
      </c>
      <c r="O28" s="12">
        <v>170</v>
      </c>
      <c r="P28" s="12">
        <v>240</v>
      </c>
      <c r="Q28" s="12">
        <v>5</v>
      </c>
      <c r="R28" s="13" t="s">
        <v>94</v>
      </c>
      <c r="S28" s="13"/>
      <c r="T28" s="15">
        <v>1500</v>
      </c>
      <c r="U28" s="13" t="s">
        <v>52</v>
      </c>
      <c r="V28" s="13" t="s">
        <v>59</v>
      </c>
      <c r="W28" s="12">
        <v>10</v>
      </c>
      <c r="X28" s="33" t="str">
        <f>HYPERLINK("https://www.alpinabook.ru/catalog/book-izobreteno-v-sssr","ссылка на книгу")</f>
        <v>ссылка на книгу</v>
      </c>
      <c r="Y28" s="34" t="str">
        <f>HYPERLINK("https://api-enni.alpina.ru/FilePrivilegesApproval/14","https://api-enni.alpina.ru/FilePrivilegesApproval/14")</f>
        <v>https://api-enni.alpina.ru/FilePrivilegesApproval/14</v>
      </c>
      <c r="Z28" s="13" t="s">
        <v>83</v>
      </c>
      <c r="AT28" s="1">
        <f t="shared" si="0"/>
        <v>0</v>
      </c>
      <c r="AU28" s="1">
        <f t="shared" si="1"/>
        <v>0</v>
      </c>
      <c r="AV28" s="1">
        <f t="shared" si="2"/>
        <v>0</v>
      </c>
      <c r="AW28" s="1">
        <f t="shared" si="3"/>
        <v>0</v>
      </c>
      <c r="AX28" s="1">
        <f t="shared" si="4"/>
        <v>0</v>
      </c>
    </row>
    <row r="29" spans="1:50" s="1" customFormat="1" ht="21.95" customHeight="1" outlineLevel="1" x14ac:dyDescent="0.2">
      <c r="A29" s="11"/>
      <c r="B29" s="15">
        <v>1950</v>
      </c>
      <c r="C29" s="15">
        <v>2490</v>
      </c>
      <c r="D29" s="12">
        <v>31923</v>
      </c>
      <c r="E29" s="13" t="s">
        <v>95</v>
      </c>
      <c r="F29" s="13" t="s">
        <v>96</v>
      </c>
      <c r="G29" s="13" t="s">
        <v>97</v>
      </c>
      <c r="H29" s="13"/>
      <c r="I29" s="12">
        <v>2025</v>
      </c>
      <c r="J29" s="13" t="s">
        <v>98</v>
      </c>
      <c r="K29" s="12">
        <v>9785206003925</v>
      </c>
      <c r="L29" s="13" t="s">
        <v>99</v>
      </c>
      <c r="M29" s="12">
        <v>306</v>
      </c>
      <c r="N29" s="14">
        <v>0.47</v>
      </c>
      <c r="O29" s="12">
        <v>170</v>
      </c>
      <c r="P29" s="12">
        <v>220</v>
      </c>
      <c r="Q29" s="12">
        <v>7</v>
      </c>
      <c r="R29" s="13" t="s">
        <v>100</v>
      </c>
      <c r="S29" s="13"/>
      <c r="T29" s="15">
        <v>3005</v>
      </c>
      <c r="U29" s="13" t="s">
        <v>44</v>
      </c>
      <c r="V29" s="13" t="s">
        <v>45</v>
      </c>
      <c r="W29" s="12">
        <v>10</v>
      </c>
      <c r="X29" s="33" t="str">
        <f>HYPERLINK("https://www.alpinabook.ru/catalog/book-ispoved-samozvantsa-predprinimatelya","ссылка на книгу")</f>
        <v>ссылка на книгу</v>
      </c>
      <c r="Y29" s="34" t="str">
        <f>HYPERLINK("","")</f>
        <v/>
      </c>
      <c r="Z29" s="13" t="s">
        <v>101</v>
      </c>
      <c r="AT29" s="1">
        <f t="shared" si="0"/>
        <v>0</v>
      </c>
      <c r="AU29" s="1">
        <f t="shared" si="1"/>
        <v>0</v>
      </c>
      <c r="AV29" s="1">
        <f t="shared" si="2"/>
        <v>0</v>
      </c>
      <c r="AW29" s="1">
        <f t="shared" si="3"/>
        <v>0</v>
      </c>
      <c r="AX29" s="1">
        <f t="shared" si="4"/>
        <v>0</v>
      </c>
    </row>
    <row r="30" spans="1:50" s="1" customFormat="1" ht="24.95" customHeight="1" outlineLevel="1" x14ac:dyDescent="0.2">
      <c r="A30" s="11"/>
      <c r="B30" s="12">
        <v>550</v>
      </c>
      <c r="C30" s="12">
        <v>790</v>
      </c>
      <c r="D30" s="12">
        <v>31641</v>
      </c>
      <c r="E30" s="13" t="s">
        <v>102</v>
      </c>
      <c r="F30" s="13" t="s">
        <v>103</v>
      </c>
      <c r="G30" s="13" t="s">
        <v>56</v>
      </c>
      <c r="H30" s="13"/>
      <c r="I30" s="12">
        <v>2025</v>
      </c>
      <c r="J30" s="13" t="s">
        <v>104</v>
      </c>
      <c r="K30" s="12">
        <v>9785961499698</v>
      </c>
      <c r="L30" s="13" t="s">
        <v>105</v>
      </c>
      <c r="M30" s="12">
        <v>248</v>
      </c>
      <c r="N30" s="14">
        <v>0.39</v>
      </c>
      <c r="O30" s="12">
        <v>150</v>
      </c>
      <c r="P30" s="12">
        <v>220</v>
      </c>
      <c r="Q30" s="12">
        <v>16</v>
      </c>
      <c r="R30" s="13" t="s">
        <v>43</v>
      </c>
      <c r="S30" s="13"/>
      <c r="T30" s="15">
        <v>3000</v>
      </c>
      <c r="U30" s="13" t="s">
        <v>52</v>
      </c>
      <c r="V30" s="13" t="s">
        <v>59</v>
      </c>
      <c r="W30" s="12">
        <v>10</v>
      </c>
      <c r="X30" s="33" t="str">
        <f>HYPERLINK("https://www.alpinabook.ru/catalog/book-ispytanie-detstvom","ссылка на книгу")</f>
        <v>ссылка на книгу</v>
      </c>
      <c r="Y30" s="34" t="str">
        <f>HYPERLINK("https://api-enni.alpina.ru/FilePrivilegesApproval/856","https://api-enni.alpina.ru/FilePrivilegesApproval/856")</f>
        <v>https://api-enni.alpina.ru/FilePrivilegesApproval/856</v>
      </c>
      <c r="Z30" s="13" t="s">
        <v>83</v>
      </c>
      <c r="AT30" s="1">
        <f t="shared" si="0"/>
        <v>0</v>
      </c>
      <c r="AU30" s="1">
        <f t="shared" si="1"/>
        <v>0</v>
      </c>
      <c r="AV30" s="1">
        <f t="shared" si="2"/>
        <v>0</v>
      </c>
      <c r="AW30" s="1">
        <f t="shared" si="3"/>
        <v>0</v>
      </c>
      <c r="AX30" s="1">
        <f t="shared" si="4"/>
        <v>0</v>
      </c>
    </row>
    <row r="31" spans="1:50" s="1" customFormat="1" ht="24.95" customHeight="1" outlineLevel="1" x14ac:dyDescent="0.2">
      <c r="A31" s="11"/>
      <c r="B31" s="12">
        <v>640</v>
      </c>
      <c r="C31" s="12">
        <v>940</v>
      </c>
      <c r="D31" s="12">
        <v>31536</v>
      </c>
      <c r="E31" s="13" t="s">
        <v>106</v>
      </c>
      <c r="F31" s="13" t="s">
        <v>107</v>
      </c>
      <c r="G31" s="13" t="s">
        <v>56</v>
      </c>
      <c r="H31" s="13" t="s">
        <v>40</v>
      </c>
      <c r="I31" s="12">
        <v>2025</v>
      </c>
      <c r="J31" s="13" t="s">
        <v>108</v>
      </c>
      <c r="K31" s="12">
        <v>9785961499179</v>
      </c>
      <c r="L31" s="13" t="s">
        <v>109</v>
      </c>
      <c r="M31" s="12">
        <v>298</v>
      </c>
      <c r="N31" s="14">
        <v>0.37</v>
      </c>
      <c r="O31" s="12">
        <v>140</v>
      </c>
      <c r="P31" s="12">
        <v>210</v>
      </c>
      <c r="Q31" s="12">
        <v>16</v>
      </c>
      <c r="R31" s="13" t="s">
        <v>43</v>
      </c>
      <c r="S31" s="13"/>
      <c r="T31" s="15">
        <v>2000</v>
      </c>
      <c r="U31" s="13" t="s">
        <v>44</v>
      </c>
      <c r="V31" s="13" t="s">
        <v>45</v>
      </c>
      <c r="W31" s="12">
        <v>10</v>
      </c>
      <c r="X31" s="33" t="str">
        <f>HYPERLINK("https://www.alpinabook.ru/catalog/book-k-chyertu-skazki","ссылка на книгу")</f>
        <v>ссылка на книгу</v>
      </c>
      <c r="Y31" s="34" t="str">
        <f>HYPERLINK("https://api-enni.alpina.ru/FilePrivilegesApproval/831","https://api-enni.alpina.ru/FilePrivilegesApproval/831")</f>
        <v>https://api-enni.alpina.ru/FilePrivilegesApproval/831</v>
      </c>
      <c r="Z31" s="13" t="s">
        <v>77</v>
      </c>
      <c r="AT31" s="1">
        <f t="shared" si="0"/>
        <v>0</v>
      </c>
      <c r="AU31" s="1">
        <f t="shared" si="1"/>
        <v>0</v>
      </c>
      <c r="AV31" s="1">
        <f t="shared" si="2"/>
        <v>0</v>
      </c>
      <c r="AW31" s="1">
        <f t="shared" si="3"/>
        <v>0</v>
      </c>
      <c r="AX31" s="1">
        <f t="shared" si="4"/>
        <v>0</v>
      </c>
    </row>
    <row r="32" spans="1:50" s="1" customFormat="1" ht="24.95" customHeight="1" outlineLevel="1" x14ac:dyDescent="0.2">
      <c r="A32" s="11"/>
      <c r="B32" s="12">
        <v>620</v>
      </c>
      <c r="C32" s="12">
        <v>890</v>
      </c>
      <c r="D32" s="12">
        <v>31900</v>
      </c>
      <c r="E32" s="13" t="s">
        <v>110</v>
      </c>
      <c r="F32" s="13" t="s">
        <v>111</v>
      </c>
      <c r="G32" s="13" t="s">
        <v>39</v>
      </c>
      <c r="H32" s="13"/>
      <c r="I32" s="12">
        <v>2025</v>
      </c>
      <c r="J32" s="13" t="s">
        <v>112</v>
      </c>
      <c r="K32" s="12">
        <v>9785002234417</v>
      </c>
      <c r="L32" s="13" t="s">
        <v>113</v>
      </c>
      <c r="M32" s="12">
        <v>304</v>
      </c>
      <c r="N32" s="14">
        <v>0.3</v>
      </c>
      <c r="O32" s="12">
        <v>130</v>
      </c>
      <c r="P32" s="12">
        <v>210</v>
      </c>
      <c r="Q32" s="12">
        <v>12</v>
      </c>
      <c r="R32" s="13" t="s">
        <v>82</v>
      </c>
      <c r="S32" s="13"/>
      <c r="T32" s="15">
        <v>1500</v>
      </c>
      <c r="U32" s="13" t="s">
        <v>52</v>
      </c>
      <c r="V32" s="13" t="s">
        <v>59</v>
      </c>
      <c r="W32" s="12">
        <v>10</v>
      </c>
      <c r="X32" s="33" t="str">
        <f>HYPERLINK("https://www.alpinabook.ru/catalog/book-kalliopa-derevo-korisk","ссылка на книгу")</f>
        <v>ссылка на книгу</v>
      </c>
      <c r="Y32" s="34" t="str">
        <f>HYPERLINK("https://api-enni.alpina.ru/FilePrivilegesApproval/861","https://api-enni.alpina.ru/FilePrivilegesApproval/861")</f>
        <v>https://api-enni.alpina.ru/FilePrivilegesApproval/861</v>
      </c>
      <c r="Z32" s="13" t="s">
        <v>77</v>
      </c>
      <c r="AT32" s="1">
        <f t="shared" si="0"/>
        <v>0</v>
      </c>
      <c r="AU32" s="1">
        <f t="shared" si="1"/>
        <v>0</v>
      </c>
      <c r="AV32" s="1">
        <f t="shared" si="2"/>
        <v>0</v>
      </c>
      <c r="AW32" s="1">
        <f t="shared" si="3"/>
        <v>0</v>
      </c>
      <c r="AX32" s="1">
        <f t="shared" si="4"/>
        <v>0</v>
      </c>
    </row>
    <row r="33" spans="1:50" s="1" customFormat="1" ht="24.95" customHeight="1" outlineLevel="1" x14ac:dyDescent="0.2">
      <c r="A33" s="11"/>
      <c r="B33" s="12">
        <v>630</v>
      </c>
      <c r="C33" s="12">
        <v>890</v>
      </c>
      <c r="D33" s="12">
        <v>33603</v>
      </c>
      <c r="E33" s="13" t="s">
        <v>114</v>
      </c>
      <c r="F33" s="13" t="s">
        <v>115</v>
      </c>
      <c r="G33" s="13" t="s">
        <v>39</v>
      </c>
      <c r="H33" s="13"/>
      <c r="I33" s="12">
        <v>2025</v>
      </c>
      <c r="J33" s="13" t="s">
        <v>116</v>
      </c>
      <c r="K33" s="12">
        <v>9785002235810</v>
      </c>
      <c r="L33" s="13" t="s">
        <v>117</v>
      </c>
      <c r="M33" s="12">
        <v>400</v>
      </c>
      <c r="N33" s="14">
        <v>0.35</v>
      </c>
      <c r="O33" s="12">
        <v>140</v>
      </c>
      <c r="P33" s="12">
        <v>210</v>
      </c>
      <c r="Q33" s="12">
        <v>4</v>
      </c>
      <c r="R33" s="13" t="s">
        <v>43</v>
      </c>
      <c r="S33" s="13"/>
      <c r="T33" s="15">
        <v>1000</v>
      </c>
      <c r="U33" s="13" t="s">
        <v>44</v>
      </c>
      <c r="V33" s="13" t="s">
        <v>89</v>
      </c>
      <c r="W33" s="12">
        <v>10</v>
      </c>
      <c r="X33" s="33" t="str">
        <f>HYPERLINK("https://www.alpinabook.ru/catalog/book-kamennye-klyeny","ссылка на книгу")</f>
        <v>ссылка на книгу</v>
      </c>
      <c r="Y33" s="34" t="str">
        <f>HYPERLINK("https://api-enni.alpina.ru/FilePrivilegesApproval/359","https://api-enni.alpina.ru/FilePrivilegesApproval/359")</f>
        <v>https://api-enni.alpina.ru/FilePrivilegesApproval/359</v>
      </c>
      <c r="Z33" s="13" t="s">
        <v>118</v>
      </c>
      <c r="AT33" s="1">
        <f t="shared" si="0"/>
        <v>0</v>
      </c>
      <c r="AU33" s="1">
        <f t="shared" si="1"/>
        <v>0</v>
      </c>
      <c r="AV33" s="1">
        <f t="shared" si="2"/>
        <v>0</v>
      </c>
      <c r="AW33" s="1">
        <f t="shared" si="3"/>
        <v>0</v>
      </c>
      <c r="AX33" s="1">
        <f t="shared" si="4"/>
        <v>0</v>
      </c>
    </row>
    <row r="34" spans="1:50" s="1" customFormat="1" ht="24.95" customHeight="1" outlineLevel="1" x14ac:dyDescent="0.2">
      <c r="A34" s="11"/>
      <c r="B34" s="12">
        <v>550</v>
      </c>
      <c r="C34" s="12">
        <v>790</v>
      </c>
      <c r="D34" s="12">
        <v>31255</v>
      </c>
      <c r="E34" s="13" t="s">
        <v>119</v>
      </c>
      <c r="F34" s="13" t="s">
        <v>120</v>
      </c>
      <c r="G34" s="13" t="s">
        <v>121</v>
      </c>
      <c r="H34" s="13" t="s">
        <v>40</v>
      </c>
      <c r="I34" s="12">
        <v>2025</v>
      </c>
      <c r="J34" s="13" t="s">
        <v>122</v>
      </c>
      <c r="K34" s="12">
        <v>9785961498004</v>
      </c>
      <c r="L34" s="13" t="s">
        <v>123</v>
      </c>
      <c r="M34" s="12">
        <v>400</v>
      </c>
      <c r="N34" s="14">
        <v>0.37</v>
      </c>
      <c r="O34" s="12">
        <v>140</v>
      </c>
      <c r="P34" s="12">
        <v>210</v>
      </c>
      <c r="Q34" s="12">
        <v>6</v>
      </c>
      <c r="R34" s="13" t="s">
        <v>43</v>
      </c>
      <c r="S34" s="13"/>
      <c r="T34" s="15">
        <v>2000</v>
      </c>
      <c r="U34" s="13" t="s">
        <v>44</v>
      </c>
      <c r="V34" s="13" t="s">
        <v>45</v>
      </c>
      <c r="W34" s="12">
        <v>20</v>
      </c>
      <c r="X34" s="33" t="str">
        <f>HYPERLINK("https://www.alpinabook.ru/catalog/book-krylya-na-dvoikh","ссылка на книгу")</f>
        <v>ссылка на книгу</v>
      </c>
      <c r="Y34" s="34" t="str">
        <f>HYPERLINK("https://api-enni.alpina.ru/FilePrivilegesApproval/864","https://api-enni.alpina.ru/FilePrivilegesApproval/864")</f>
        <v>https://api-enni.alpina.ru/FilePrivilegesApproval/864</v>
      </c>
      <c r="Z34" s="13" t="s">
        <v>70</v>
      </c>
      <c r="AT34" s="1">
        <f t="shared" si="0"/>
        <v>0</v>
      </c>
      <c r="AU34" s="1">
        <f t="shared" si="1"/>
        <v>0</v>
      </c>
      <c r="AV34" s="1">
        <f t="shared" si="2"/>
        <v>0</v>
      </c>
      <c r="AW34" s="1">
        <f t="shared" si="3"/>
        <v>0</v>
      </c>
      <c r="AX34" s="1">
        <f t="shared" si="4"/>
        <v>0</v>
      </c>
    </row>
    <row r="35" spans="1:50" s="1" customFormat="1" ht="24.95" customHeight="1" outlineLevel="1" x14ac:dyDescent="0.2">
      <c r="A35" s="11"/>
      <c r="B35" s="12">
        <v>540</v>
      </c>
      <c r="C35" s="12">
        <v>790</v>
      </c>
      <c r="D35" s="12">
        <v>31981</v>
      </c>
      <c r="E35" s="13" t="s">
        <v>124</v>
      </c>
      <c r="F35" s="13" t="s">
        <v>125</v>
      </c>
      <c r="G35" s="13" t="s">
        <v>56</v>
      </c>
      <c r="H35" s="13"/>
      <c r="I35" s="12">
        <v>2025</v>
      </c>
      <c r="J35" s="13" t="s">
        <v>126</v>
      </c>
      <c r="K35" s="12">
        <v>9785006300798</v>
      </c>
      <c r="L35" s="13" t="s">
        <v>127</v>
      </c>
      <c r="M35" s="12">
        <v>252</v>
      </c>
      <c r="N35" s="14">
        <v>0.41</v>
      </c>
      <c r="O35" s="12">
        <v>150</v>
      </c>
      <c r="P35" s="12">
        <v>220</v>
      </c>
      <c r="Q35" s="12">
        <v>16</v>
      </c>
      <c r="R35" s="13" t="s">
        <v>43</v>
      </c>
      <c r="S35" s="13"/>
      <c r="T35" s="15">
        <v>3000</v>
      </c>
      <c r="U35" s="13" t="s">
        <v>52</v>
      </c>
      <c r="V35" s="13" t="s">
        <v>45</v>
      </c>
      <c r="W35" s="12">
        <v>10</v>
      </c>
      <c r="X35" s="33" t="str">
        <f>HYPERLINK("https://www.alpinabook.ru/catalog/book-moya-polosataya-zhizn","ссылка на книгу")</f>
        <v>ссылка на книгу</v>
      </c>
      <c r="Y35" s="34" t="str">
        <f>HYPERLINK("https://api-enni.alpina.ru/FilePrivilegesApproval/831","https://api-enni.alpina.ru/FilePrivilegesApproval/831")</f>
        <v>https://api-enni.alpina.ru/FilePrivilegesApproval/831</v>
      </c>
      <c r="Z35" s="13" t="s">
        <v>77</v>
      </c>
      <c r="AT35" s="1">
        <f t="shared" si="0"/>
        <v>0</v>
      </c>
      <c r="AU35" s="1">
        <f t="shared" si="1"/>
        <v>0</v>
      </c>
      <c r="AV35" s="1">
        <f t="shared" si="2"/>
        <v>0</v>
      </c>
      <c r="AW35" s="1">
        <f t="shared" si="3"/>
        <v>0</v>
      </c>
      <c r="AX35" s="1">
        <f t="shared" si="4"/>
        <v>0</v>
      </c>
    </row>
    <row r="36" spans="1:50" s="1" customFormat="1" ht="21.95" customHeight="1" outlineLevel="1" x14ac:dyDescent="0.2">
      <c r="A36" s="11"/>
      <c r="B36" s="12">
        <v>690</v>
      </c>
      <c r="C36" s="12">
        <v>990</v>
      </c>
      <c r="D36" s="12">
        <v>31717</v>
      </c>
      <c r="E36" s="13" t="s">
        <v>128</v>
      </c>
      <c r="F36" s="13" t="s">
        <v>129</v>
      </c>
      <c r="G36" s="13" t="s">
        <v>39</v>
      </c>
      <c r="H36" s="13"/>
      <c r="I36" s="12">
        <v>2025</v>
      </c>
      <c r="J36" s="13" t="s">
        <v>130</v>
      </c>
      <c r="K36" s="12">
        <v>9785002234103</v>
      </c>
      <c r="L36" s="13" t="s">
        <v>131</v>
      </c>
      <c r="M36" s="12">
        <v>410</v>
      </c>
      <c r="N36" s="14">
        <v>0.39</v>
      </c>
      <c r="O36" s="12">
        <v>140</v>
      </c>
      <c r="P36" s="12">
        <v>210</v>
      </c>
      <c r="Q36" s="12">
        <v>10</v>
      </c>
      <c r="R36" s="13" t="s">
        <v>82</v>
      </c>
      <c r="S36" s="13"/>
      <c r="T36" s="15">
        <v>2000</v>
      </c>
      <c r="U36" s="13" t="s">
        <v>52</v>
      </c>
      <c r="V36" s="13" t="s">
        <v>89</v>
      </c>
      <c r="W36" s="12">
        <v>20</v>
      </c>
      <c r="X36" s="33" t="str">
        <f>HYPERLINK("https://www.alpinabook.ru/catalog/book-nepokoi","ссылка на книгу")</f>
        <v>ссылка на книгу</v>
      </c>
      <c r="Y36" s="34" t="str">
        <f>HYPERLINK("","")</f>
        <v/>
      </c>
      <c r="Z36" s="13" t="s">
        <v>132</v>
      </c>
      <c r="AT36" s="1">
        <f t="shared" si="0"/>
        <v>0</v>
      </c>
      <c r="AU36" s="1">
        <f t="shared" si="1"/>
        <v>0</v>
      </c>
      <c r="AV36" s="1">
        <f t="shared" si="2"/>
        <v>0</v>
      </c>
      <c r="AW36" s="1">
        <f t="shared" si="3"/>
        <v>0</v>
      </c>
      <c r="AX36" s="1">
        <f t="shared" si="4"/>
        <v>0</v>
      </c>
    </row>
    <row r="37" spans="1:50" s="1" customFormat="1" ht="21.95" customHeight="1" outlineLevel="1" x14ac:dyDescent="0.2">
      <c r="A37" s="11"/>
      <c r="B37" s="12">
        <v>790</v>
      </c>
      <c r="C37" s="15">
        <v>1090</v>
      </c>
      <c r="D37" s="12">
        <v>29330</v>
      </c>
      <c r="E37" s="13" t="s">
        <v>133</v>
      </c>
      <c r="F37" s="13" t="s">
        <v>134</v>
      </c>
      <c r="G37" s="13" t="s">
        <v>86</v>
      </c>
      <c r="H37" s="13" t="s">
        <v>40</v>
      </c>
      <c r="I37" s="12">
        <v>2025</v>
      </c>
      <c r="J37" s="13" t="s">
        <v>135</v>
      </c>
      <c r="K37" s="12">
        <v>9785002231355</v>
      </c>
      <c r="L37" s="13" t="s">
        <v>136</v>
      </c>
      <c r="M37" s="12">
        <v>386</v>
      </c>
      <c r="N37" s="14">
        <v>0.42</v>
      </c>
      <c r="O37" s="12">
        <v>150</v>
      </c>
      <c r="P37" s="12">
        <v>220</v>
      </c>
      <c r="Q37" s="12">
        <v>10</v>
      </c>
      <c r="R37" s="13" t="s">
        <v>43</v>
      </c>
      <c r="S37" s="13"/>
      <c r="T37" s="15">
        <v>2000</v>
      </c>
      <c r="U37" s="13" t="s">
        <v>52</v>
      </c>
      <c r="V37" s="13" t="s">
        <v>89</v>
      </c>
      <c r="W37" s="12">
        <v>20</v>
      </c>
      <c r="X37" s="33" t="str">
        <f>HYPERLINK("https://www.alpinabook.ru/catalog/book-obychnye-lyudi-101-batalon","ссылка на книгу")</f>
        <v>ссылка на книгу</v>
      </c>
      <c r="Y37" s="34" t="str">
        <f>HYPERLINK("","")</f>
        <v/>
      </c>
      <c r="Z37" s="13" t="s">
        <v>70</v>
      </c>
      <c r="AT37" s="1">
        <f t="shared" si="0"/>
        <v>0</v>
      </c>
      <c r="AU37" s="1">
        <f t="shared" si="1"/>
        <v>0</v>
      </c>
      <c r="AV37" s="1">
        <f t="shared" si="2"/>
        <v>0</v>
      </c>
      <c r="AW37" s="1">
        <f t="shared" si="3"/>
        <v>0</v>
      </c>
      <c r="AX37" s="1">
        <f t="shared" si="4"/>
        <v>0</v>
      </c>
    </row>
    <row r="38" spans="1:50" s="1" customFormat="1" ht="24.95" customHeight="1" outlineLevel="1" x14ac:dyDescent="0.2">
      <c r="A38" s="11"/>
      <c r="B38" s="12">
        <v>550</v>
      </c>
      <c r="C38" s="12">
        <v>790</v>
      </c>
      <c r="D38" s="12">
        <v>31675</v>
      </c>
      <c r="E38" s="13" t="s">
        <v>137</v>
      </c>
      <c r="F38" s="13" t="s">
        <v>138</v>
      </c>
      <c r="G38" s="13" t="s">
        <v>56</v>
      </c>
      <c r="H38" s="13" t="s">
        <v>40</v>
      </c>
      <c r="I38" s="12">
        <v>2025</v>
      </c>
      <c r="J38" s="13" t="s">
        <v>139</v>
      </c>
      <c r="K38" s="12">
        <v>9785961499872</v>
      </c>
      <c r="L38" s="13" t="s">
        <v>140</v>
      </c>
      <c r="M38" s="12">
        <v>200</v>
      </c>
      <c r="N38" s="14">
        <v>0.44</v>
      </c>
      <c r="O38" s="12">
        <v>170</v>
      </c>
      <c r="P38" s="12">
        <v>240</v>
      </c>
      <c r="Q38" s="12">
        <v>10</v>
      </c>
      <c r="R38" s="13" t="s">
        <v>94</v>
      </c>
      <c r="S38" s="13" t="s">
        <v>141</v>
      </c>
      <c r="T38" s="15">
        <v>3000</v>
      </c>
      <c r="U38" s="13" t="s">
        <v>52</v>
      </c>
      <c r="V38" s="13" t="s">
        <v>45</v>
      </c>
      <c r="W38" s="12">
        <v>10</v>
      </c>
      <c r="X38" s="33" t="str">
        <f>HYPERLINK("https://www.alpinabook.ru/catalog/book-ostanovi-svoi-emotsionalnye-kacheli","ссылка на книгу")</f>
        <v>ссылка на книгу</v>
      </c>
      <c r="Y38" s="34" t="str">
        <f>HYPERLINK("https://api-enni.alpina.ru/FilePrivilegesApproval/782","https://api-enni.alpina.ru/FilePrivilegesApproval/782")</f>
        <v>https://api-enni.alpina.ru/FilePrivilegesApproval/782</v>
      </c>
      <c r="Z38" s="13" t="s">
        <v>142</v>
      </c>
      <c r="AT38" s="1">
        <f t="shared" si="0"/>
        <v>0</v>
      </c>
      <c r="AU38" s="1">
        <f t="shared" si="1"/>
        <v>0</v>
      </c>
      <c r="AV38" s="1">
        <f t="shared" si="2"/>
        <v>0</v>
      </c>
      <c r="AW38" s="1">
        <f t="shared" si="3"/>
        <v>0</v>
      </c>
      <c r="AX38" s="1">
        <f t="shared" si="4"/>
        <v>0</v>
      </c>
    </row>
    <row r="39" spans="1:50" s="1" customFormat="1" ht="21.95" customHeight="1" outlineLevel="1" x14ac:dyDescent="0.2">
      <c r="A39" s="11"/>
      <c r="B39" s="12">
        <v>690</v>
      </c>
      <c r="C39" s="12">
        <v>890</v>
      </c>
      <c r="D39" s="12">
        <v>32934</v>
      </c>
      <c r="E39" s="13" t="s">
        <v>143</v>
      </c>
      <c r="F39" s="13" t="s">
        <v>144</v>
      </c>
      <c r="G39" s="13" t="s">
        <v>39</v>
      </c>
      <c r="H39" s="13"/>
      <c r="I39" s="12">
        <v>2025</v>
      </c>
      <c r="J39" s="13" t="s">
        <v>145</v>
      </c>
      <c r="K39" s="12">
        <v>9785002235308</v>
      </c>
      <c r="L39" s="13" t="s">
        <v>146</v>
      </c>
      <c r="M39" s="12">
        <v>282</v>
      </c>
      <c r="N39" s="14">
        <v>0.3</v>
      </c>
      <c r="O39" s="12">
        <v>140</v>
      </c>
      <c r="P39" s="12">
        <v>210</v>
      </c>
      <c r="Q39" s="12">
        <v>10</v>
      </c>
      <c r="R39" s="13" t="s">
        <v>82</v>
      </c>
      <c r="S39" s="13"/>
      <c r="T39" s="15">
        <v>2000</v>
      </c>
      <c r="U39" s="13" t="s">
        <v>52</v>
      </c>
      <c r="V39" s="13" t="s">
        <v>89</v>
      </c>
      <c r="W39" s="12">
        <v>20</v>
      </c>
      <c r="X39" s="33" t="str">
        <f>HYPERLINK("https://www.alpinabook.ru/catalog/book-ostanovka-grachey-po-puti-na-yug","ссылка на книгу")</f>
        <v>ссылка на книгу</v>
      </c>
      <c r="Y39" s="34" t="str">
        <f>HYPERLINK("","")</f>
        <v/>
      </c>
      <c r="Z39" s="13" t="s">
        <v>83</v>
      </c>
      <c r="AT39" s="1">
        <f t="shared" si="0"/>
        <v>0</v>
      </c>
      <c r="AU39" s="1">
        <f t="shared" si="1"/>
        <v>0</v>
      </c>
      <c r="AV39" s="1">
        <f t="shared" si="2"/>
        <v>0</v>
      </c>
      <c r="AW39" s="1">
        <f t="shared" si="3"/>
        <v>0</v>
      </c>
      <c r="AX39" s="1">
        <f t="shared" si="4"/>
        <v>0</v>
      </c>
    </row>
    <row r="40" spans="1:50" s="1" customFormat="1" ht="24.95" customHeight="1" outlineLevel="1" x14ac:dyDescent="0.2">
      <c r="A40" s="11"/>
      <c r="B40" s="12">
        <v>550</v>
      </c>
      <c r="C40" s="12">
        <v>790</v>
      </c>
      <c r="D40" s="12">
        <v>31291</v>
      </c>
      <c r="E40" s="13" t="s">
        <v>147</v>
      </c>
      <c r="F40" s="13" t="s">
        <v>148</v>
      </c>
      <c r="G40" s="13" t="s">
        <v>56</v>
      </c>
      <c r="H40" s="13" t="s">
        <v>40</v>
      </c>
      <c r="I40" s="12">
        <v>2025</v>
      </c>
      <c r="J40" s="13" t="s">
        <v>149</v>
      </c>
      <c r="K40" s="12">
        <v>9785961498127</v>
      </c>
      <c r="L40" s="13" t="s">
        <v>150</v>
      </c>
      <c r="M40" s="12">
        <v>174</v>
      </c>
      <c r="N40" s="14">
        <v>0.41</v>
      </c>
      <c r="O40" s="12">
        <v>170</v>
      </c>
      <c r="P40" s="12">
        <v>240</v>
      </c>
      <c r="Q40" s="12">
        <v>10</v>
      </c>
      <c r="R40" s="13" t="s">
        <v>94</v>
      </c>
      <c r="S40" s="13" t="s">
        <v>141</v>
      </c>
      <c r="T40" s="15">
        <v>2000</v>
      </c>
      <c r="U40" s="13" t="s">
        <v>52</v>
      </c>
      <c r="V40" s="13" t="s">
        <v>45</v>
      </c>
      <c r="W40" s="12">
        <v>10</v>
      </c>
      <c r="X40" s="33" t="str">
        <f>HYPERLINK("https://www.alpinabook.ru/catalog/book-otpusti-vnutrennego-kritika","ссылка на книгу")</f>
        <v>ссылка на книгу</v>
      </c>
      <c r="Y40" s="34" t="str">
        <f>HYPERLINK("https://api-enni.alpina.ru/FilePrivilegesApproval/782","https://api-enni.alpina.ru/FilePrivilegesApproval/782")</f>
        <v>https://api-enni.alpina.ru/FilePrivilegesApproval/782</v>
      </c>
      <c r="Z40" s="13" t="s">
        <v>151</v>
      </c>
      <c r="AT40" s="1">
        <f t="shared" si="0"/>
        <v>0</v>
      </c>
      <c r="AU40" s="1">
        <f t="shared" si="1"/>
        <v>0</v>
      </c>
      <c r="AV40" s="1">
        <f t="shared" si="2"/>
        <v>0</v>
      </c>
      <c r="AW40" s="1">
        <f t="shared" si="3"/>
        <v>0</v>
      </c>
      <c r="AX40" s="1">
        <f t="shared" si="4"/>
        <v>0</v>
      </c>
    </row>
    <row r="41" spans="1:50" s="1" customFormat="1" ht="24.95" customHeight="1" outlineLevel="1" x14ac:dyDescent="0.2">
      <c r="A41" s="11"/>
      <c r="B41" s="15">
        <v>1220</v>
      </c>
      <c r="C41" s="15">
        <v>1690</v>
      </c>
      <c r="D41" s="12">
        <v>24963</v>
      </c>
      <c r="E41" s="13" t="s">
        <v>152</v>
      </c>
      <c r="F41" s="13" t="s">
        <v>153</v>
      </c>
      <c r="G41" s="13" t="s">
        <v>86</v>
      </c>
      <c r="H41" s="13" t="s">
        <v>40</v>
      </c>
      <c r="I41" s="12">
        <v>2025</v>
      </c>
      <c r="J41" s="13" t="s">
        <v>154</v>
      </c>
      <c r="K41" s="12">
        <v>9785002232994</v>
      </c>
      <c r="L41" s="13" t="s">
        <v>155</v>
      </c>
      <c r="M41" s="12">
        <v>610</v>
      </c>
      <c r="N41" s="14">
        <v>0.79</v>
      </c>
      <c r="O41" s="12">
        <v>170</v>
      </c>
      <c r="P41" s="12">
        <v>240</v>
      </c>
      <c r="Q41" s="12">
        <v>3</v>
      </c>
      <c r="R41" s="13" t="s">
        <v>94</v>
      </c>
      <c r="S41" s="13"/>
      <c r="T41" s="15">
        <v>3000</v>
      </c>
      <c r="U41" s="13" t="s">
        <v>52</v>
      </c>
      <c r="V41" s="13" t="s">
        <v>59</v>
      </c>
      <c r="W41" s="12">
        <v>10</v>
      </c>
      <c r="X41" s="33" t="str">
        <f>HYPERLINK("https://www.alpinabook.ru/catalog/book-padenie-robespera","ссылка на книгу")</f>
        <v>ссылка на книгу</v>
      </c>
      <c r="Y41" s="34" t="str">
        <f>HYPERLINK("https://api-enni.alpina.ru/FilePrivilegesApproval/687","https://api-enni.alpina.ru/FilePrivilegesApproval/687")</f>
        <v>https://api-enni.alpina.ru/FilePrivilegesApproval/687</v>
      </c>
      <c r="Z41" s="13" t="s">
        <v>151</v>
      </c>
      <c r="AT41" s="1">
        <f t="shared" si="0"/>
        <v>0</v>
      </c>
      <c r="AU41" s="1">
        <f t="shared" si="1"/>
        <v>0</v>
      </c>
      <c r="AV41" s="1">
        <f t="shared" si="2"/>
        <v>0</v>
      </c>
      <c r="AW41" s="1">
        <f t="shared" si="3"/>
        <v>0</v>
      </c>
      <c r="AX41" s="1">
        <f t="shared" si="4"/>
        <v>0</v>
      </c>
    </row>
    <row r="42" spans="1:50" s="1" customFormat="1" ht="24.95" customHeight="1" outlineLevel="1" x14ac:dyDescent="0.2">
      <c r="A42" s="11"/>
      <c r="B42" s="12">
        <v>440</v>
      </c>
      <c r="C42" s="12">
        <v>690</v>
      </c>
      <c r="D42" s="12">
        <v>32247</v>
      </c>
      <c r="E42" s="13" t="s">
        <v>156</v>
      </c>
      <c r="F42" s="13" t="s">
        <v>157</v>
      </c>
      <c r="G42" s="13" t="s">
        <v>86</v>
      </c>
      <c r="H42" s="13" t="s">
        <v>40</v>
      </c>
      <c r="I42" s="12">
        <v>2025</v>
      </c>
      <c r="J42" s="13" t="s">
        <v>158</v>
      </c>
      <c r="K42" s="12">
        <v>9785002234844</v>
      </c>
      <c r="L42" s="13" t="s">
        <v>159</v>
      </c>
      <c r="M42" s="12">
        <v>576</v>
      </c>
      <c r="N42" s="14">
        <v>0.37</v>
      </c>
      <c r="O42" s="12">
        <v>120</v>
      </c>
      <c r="P42" s="12">
        <v>170</v>
      </c>
      <c r="Q42" s="12">
        <v>20</v>
      </c>
      <c r="R42" s="13" t="s">
        <v>75</v>
      </c>
      <c r="S42" s="13" t="s">
        <v>160</v>
      </c>
      <c r="T42" s="15">
        <v>2000</v>
      </c>
      <c r="U42" s="13" t="s">
        <v>44</v>
      </c>
      <c r="V42" s="13" t="s">
        <v>89</v>
      </c>
      <c r="W42" s="12">
        <v>20</v>
      </c>
      <c r="X42" s="33" t="str">
        <f>HYPERLINK("https://www.alpinabook.ru/catalog/book-personazh","ссылка на книгу")</f>
        <v>ссылка на книгу</v>
      </c>
      <c r="Y42" s="34" t="str">
        <f>HYPERLINK("","")</f>
        <v/>
      </c>
      <c r="Z42" s="13" t="s">
        <v>77</v>
      </c>
      <c r="AT42" s="1">
        <f t="shared" si="0"/>
        <v>0</v>
      </c>
      <c r="AU42" s="1">
        <f t="shared" si="1"/>
        <v>0</v>
      </c>
      <c r="AV42" s="1">
        <f t="shared" si="2"/>
        <v>0</v>
      </c>
      <c r="AW42" s="1">
        <f t="shared" si="3"/>
        <v>0</v>
      </c>
      <c r="AX42" s="1">
        <f t="shared" si="4"/>
        <v>0</v>
      </c>
    </row>
    <row r="43" spans="1:50" s="1" customFormat="1" ht="21.95" customHeight="1" outlineLevel="1" x14ac:dyDescent="0.2">
      <c r="A43" s="11"/>
      <c r="B43" s="12">
        <v>440</v>
      </c>
      <c r="C43" s="12">
        <v>690</v>
      </c>
      <c r="D43" s="12">
        <v>30941</v>
      </c>
      <c r="E43" s="13" t="s">
        <v>161</v>
      </c>
      <c r="F43" s="13" t="s">
        <v>162</v>
      </c>
      <c r="G43" s="13" t="s">
        <v>163</v>
      </c>
      <c r="H43" s="13" t="s">
        <v>164</v>
      </c>
      <c r="I43" s="12">
        <v>2025</v>
      </c>
      <c r="J43" s="13" t="s">
        <v>165</v>
      </c>
      <c r="K43" s="12">
        <v>9785961497007</v>
      </c>
      <c r="L43" s="13" t="s">
        <v>166</v>
      </c>
      <c r="M43" s="12">
        <v>32</v>
      </c>
      <c r="N43" s="14">
        <v>0.21</v>
      </c>
      <c r="O43" s="12">
        <v>200</v>
      </c>
      <c r="P43" s="12">
        <v>200</v>
      </c>
      <c r="Q43" s="12">
        <v>15</v>
      </c>
      <c r="R43" s="13" t="s">
        <v>167</v>
      </c>
      <c r="S43" s="13" t="s">
        <v>168</v>
      </c>
      <c r="T43" s="15">
        <v>1500</v>
      </c>
      <c r="U43" s="13" t="s">
        <v>52</v>
      </c>
      <c r="V43" s="13" t="s">
        <v>64</v>
      </c>
      <c r="W43" s="12">
        <v>10</v>
      </c>
      <c r="X43" s="33" t="str">
        <f>HYPERLINK("https://www.alpinabook.ru/catalog/book-pozharnyy","ссылка на книгу")</f>
        <v>ссылка на книгу</v>
      </c>
      <c r="Y43" s="34" t="str">
        <f>HYPERLINK("","")</f>
        <v/>
      </c>
      <c r="Z43" s="13" t="s">
        <v>132</v>
      </c>
      <c r="AT43" s="1">
        <f t="shared" si="0"/>
        <v>0</v>
      </c>
      <c r="AU43" s="1">
        <f t="shared" si="1"/>
        <v>0</v>
      </c>
      <c r="AV43" s="1">
        <f t="shared" si="2"/>
        <v>0</v>
      </c>
      <c r="AW43" s="1">
        <f t="shared" si="3"/>
        <v>0</v>
      </c>
      <c r="AX43" s="1">
        <f t="shared" si="4"/>
        <v>0</v>
      </c>
    </row>
    <row r="44" spans="1:50" s="1" customFormat="1" ht="21.95" customHeight="1" outlineLevel="1" x14ac:dyDescent="0.2">
      <c r="A44" s="11"/>
      <c r="B44" s="12">
        <v>590</v>
      </c>
      <c r="C44" s="12">
        <v>840</v>
      </c>
      <c r="D44" s="12">
        <v>32192</v>
      </c>
      <c r="E44" s="13" t="s">
        <v>169</v>
      </c>
      <c r="F44" s="13" t="s">
        <v>170</v>
      </c>
      <c r="G44" s="13" t="s">
        <v>49</v>
      </c>
      <c r="H44" s="13"/>
      <c r="I44" s="12">
        <v>2025</v>
      </c>
      <c r="J44" s="13" t="s">
        <v>171</v>
      </c>
      <c r="K44" s="12">
        <v>9786018215544</v>
      </c>
      <c r="L44" s="13" t="s">
        <v>172</v>
      </c>
      <c r="M44" s="12">
        <v>176</v>
      </c>
      <c r="N44" s="14">
        <v>0.31</v>
      </c>
      <c r="O44" s="12">
        <v>150</v>
      </c>
      <c r="P44" s="12">
        <v>220</v>
      </c>
      <c r="Q44" s="12">
        <v>10</v>
      </c>
      <c r="R44" s="13" t="s">
        <v>43</v>
      </c>
      <c r="S44" s="13"/>
      <c r="T44" s="15">
        <v>1000</v>
      </c>
      <c r="U44" s="13" t="s">
        <v>52</v>
      </c>
      <c r="V44" s="13" t="s">
        <v>59</v>
      </c>
      <c r="W44" s="12">
        <v>20</v>
      </c>
      <c r="X44" s="33" t="str">
        <f>HYPERLINK("https://www.alpinabook.ru/catalog/book-proshche-chem-kazhetsya","ссылка на книгу")</f>
        <v>ссылка на книгу</v>
      </c>
      <c r="Y44" s="34" t="str">
        <f>HYPERLINK("","")</f>
        <v/>
      </c>
      <c r="Z44" s="13" t="s">
        <v>173</v>
      </c>
      <c r="AT44" s="1">
        <f t="shared" si="0"/>
        <v>0</v>
      </c>
      <c r="AU44" s="1">
        <f t="shared" si="1"/>
        <v>0</v>
      </c>
      <c r="AV44" s="1">
        <f t="shared" si="2"/>
        <v>0</v>
      </c>
      <c r="AW44" s="1">
        <f t="shared" si="3"/>
        <v>0</v>
      </c>
      <c r="AX44" s="1">
        <f t="shared" si="4"/>
        <v>0</v>
      </c>
    </row>
    <row r="45" spans="1:50" s="1" customFormat="1" ht="24.95" customHeight="1" outlineLevel="1" x14ac:dyDescent="0.2">
      <c r="A45" s="11"/>
      <c r="B45" s="12">
        <v>850</v>
      </c>
      <c r="C45" s="15">
        <v>1290</v>
      </c>
      <c r="D45" s="12">
        <v>24509</v>
      </c>
      <c r="E45" s="13" t="s">
        <v>174</v>
      </c>
      <c r="F45" s="13" t="s">
        <v>175</v>
      </c>
      <c r="G45" s="13" t="s">
        <v>86</v>
      </c>
      <c r="H45" s="13" t="s">
        <v>40</v>
      </c>
      <c r="I45" s="12">
        <v>2025</v>
      </c>
      <c r="J45" s="13" t="s">
        <v>176</v>
      </c>
      <c r="K45" s="12">
        <v>9785002235001</v>
      </c>
      <c r="L45" s="13" t="s">
        <v>177</v>
      </c>
      <c r="M45" s="12">
        <v>504</v>
      </c>
      <c r="N45" s="14">
        <v>0.52</v>
      </c>
      <c r="O45" s="12">
        <v>150</v>
      </c>
      <c r="P45" s="12">
        <v>220</v>
      </c>
      <c r="Q45" s="12">
        <v>6</v>
      </c>
      <c r="R45" s="13" t="s">
        <v>43</v>
      </c>
      <c r="S45" s="13" t="s">
        <v>178</v>
      </c>
      <c r="T45" s="15">
        <v>3000</v>
      </c>
      <c r="U45" s="13" t="s">
        <v>52</v>
      </c>
      <c r="V45" s="13" t="s">
        <v>59</v>
      </c>
      <c r="W45" s="12">
        <v>10</v>
      </c>
      <c r="X45" s="33" t="str">
        <f>HYPERLINK("https://www.alpinabook.ru/catalog/book-putevoditel-po-srednevekovyu","ссылка на книгу")</f>
        <v>ссылка на книгу</v>
      </c>
      <c r="Y45" s="34" t="str">
        <f>HYPERLINK("https://api-enni.alpina.ru/FilePrivilegesApproval/838","https://api-enni.alpina.ru/FilePrivilegesApproval/838")</f>
        <v>https://api-enni.alpina.ru/FilePrivilegesApproval/838</v>
      </c>
      <c r="Z45" s="13" t="s">
        <v>83</v>
      </c>
      <c r="AT45" s="1">
        <f t="shared" si="0"/>
        <v>0</v>
      </c>
      <c r="AU45" s="1">
        <f t="shared" si="1"/>
        <v>0</v>
      </c>
      <c r="AV45" s="1">
        <f t="shared" si="2"/>
        <v>0</v>
      </c>
      <c r="AW45" s="1">
        <f t="shared" si="3"/>
        <v>0</v>
      </c>
      <c r="AX45" s="1">
        <f t="shared" si="4"/>
        <v>0</v>
      </c>
    </row>
    <row r="46" spans="1:50" s="1" customFormat="1" ht="24.95" customHeight="1" outlineLevel="1" x14ac:dyDescent="0.2">
      <c r="A46" s="11"/>
      <c r="B46" s="12">
        <v>690</v>
      </c>
      <c r="C46" s="12">
        <v>990</v>
      </c>
      <c r="D46" s="12">
        <v>32108</v>
      </c>
      <c r="E46" s="13" t="s">
        <v>179</v>
      </c>
      <c r="F46" s="13" t="s">
        <v>180</v>
      </c>
      <c r="G46" s="13" t="s">
        <v>56</v>
      </c>
      <c r="H46" s="13"/>
      <c r="I46" s="12">
        <v>2025</v>
      </c>
      <c r="J46" s="13" t="s">
        <v>181</v>
      </c>
      <c r="K46" s="12">
        <v>9785006301412</v>
      </c>
      <c r="L46" s="13" t="s">
        <v>182</v>
      </c>
      <c r="M46" s="12">
        <v>375</v>
      </c>
      <c r="N46" s="14">
        <v>0.55000000000000004</v>
      </c>
      <c r="O46" s="12">
        <v>150</v>
      </c>
      <c r="P46" s="12">
        <v>220</v>
      </c>
      <c r="Q46" s="12">
        <v>12</v>
      </c>
      <c r="R46" s="13" t="s">
        <v>43</v>
      </c>
      <c r="S46" s="13"/>
      <c r="T46" s="15">
        <v>3000</v>
      </c>
      <c r="U46" s="13" t="s">
        <v>52</v>
      </c>
      <c r="V46" s="13" t="s">
        <v>45</v>
      </c>
      <c r="W46" s="12">
        <v>10</v>
      </c>
      <c r="X46" s="33" t="str">
        <f>HYPERLINK("https://www.alpinabook.ru/catalog/book-puteshestvie-k-podlinnomu-ya","ссылка на книгу")</f>
        <v>ссылка на книгу</v>
      </c>
      <c r="Y46" s="34" t="str">
        <f>HYPERLINK("https://api-enni.alpina.ru/FilePrivilegesApproval/856","https://api-enni.alpina.ru/FilePrivilegesApproval/856")</f>
        <v>https://api-enni.alpina.ru/FilePrivilegesApproval/856</v>
      </c>
      <c r="Z46" s="13" t="s">
        <v>132</v>
      </c>
      <c r="AT46" s="1">
        <f t="shared" si="0"/>
        <v>0</v>
      </c>
      <c r="AU46" s="1">
        <f t="shared" si="1"/>
        <v>0</v>
      </c>
      <c r="AV46" s="1">
        <f t="shared" si="2"/>
        <v>0</v>
      </c>
      <c r="AW46" s="1">
        <f t="shared" si="3"/>
        <v>0</v>
      </c>
      <c r="AX46" s="1">
        <f t="shared" si="4"/>
        <v>0</v>
      </c>
    </row>
    <row r="47" spans="1:50" s="1" customFormat="1" ht="24.95" customHeight="1" outlineLevel="1" x14ac:dyDescent="0.2">
      <c r="A47" s="11"/>
      <c r="B47" s="12">
        <v>380</v>
      </c>
      <c r="C47" s="12">
        <v>590</v>
      </c>
      <c r="D47" s="12">
        <v>31030</v>
      </c>
      <c r="E47" s="13" t="s">
        <v>183</v>
      </c>
      <c r="F47" s="13" t="s">
        <v>184</v>
      </c>
      <c r="G47" s="13" t="s">
        <v>56</v>
      </c>
      <c r="H47" s="13" t="s">
        <v>40</v>
      </c>
      <c r="I47" s="12">
        <v>2025</v>
      </c>
      <c r="J47" s="13" t="s">
        <v>185</v>
      </c>
      <c r="K47" s="12">
        <v>9785961497243</v>
      </c>
      <c r="L47" s="13" t="s">
        <v>186</v>
      </c>
      <c r="M47" s="12">
        <v>512</v>
      </c>
      <c r="N47" s="14">
        <v>0.33</v>
      </c>
      <c r="O47" s="12">
        <v>120</v>
      </c>
      <c r="P47" s="12">
        <v>170</v>
      </c>
      <c r="Q47" s="12">
        <v>20</v>
      </c>
      <c r="R47" s="13" t="s">
        <v>75</v>
      </c>
      <c r="S47" s="13" t="s">
        <v>187</v>
      </c>
      <c r="T47" s="15">
        <v>4000</v>
      </c>
      <c r="U47" s="13" t="s">
        <v>44</v>
      </c>
      <c r="V47" s="13" t="s">
        <v>59</v>
      </c>
      <c r="W47" s="12">
        <v>10</v>
      </c>
      <c r="X47" s="33" t="str">
        <f>HYPERLINK("https://www.alpinabook.ru/catalog/book-put-k-protsvetaniyu","ссылка на книгу")</f>
        <v>ссылка на книгу</v>
      </c>
      <c r="Y47" s="34" t="str">
        <f>HYPERLINK("https://api-enni.alpina.ru/FilePrivilegesApproval/809","https://api-enni.alpina.ru/FilePrivilegesApproval/809")</f>
        <v>https://api-enni.alpina.ru/FilePrivilegesApproval/809</v>
      </c>
      <c r="Z47" s="13" t="s">
        <v>142</v>
      </c>
      <c r="AT47" s="1">
        <f t="shared" si="0"/>
        <v>0</v>
      </c>
      <c r="AU47" s="1">
        <f t="shared" si="1"/>
        <v>0</v>
      </c>
      <c r="AV47" s="1">
        <f t="shared" si="2"/>
        <v>0</v>
      </c>
      <c r="AW47" s="1">
        <f t="shared" si="3"/>
        <v>0</v>
      </c>
      <c r="AX47" s="1">
        <f t="shared" si="4"/>
        <v>0</v>
      </c>
    </row>
    <row r="48" spans="1:50" s="1" customFormat="1" ht="24.95" customHeight="1" outlineLevel="1" x14ac:dyDescent="0.2">
      <c r="A48" s="11"/>
      <c r="B48" s="12">
        <v>490</v>
      </c>
      <c r="C48" s="12">
        <v>740</v>
      </c>
      <c r="D48" s="12">
        <v>31114</v>
      </c>
      <c r="E48" s="13" t="s">
        <v>188</v>
      </c>
      <c r="F48" s="13" t="s">
        <v>189</v>
      </c>
      <c r="G48" s="13" t="s">
        <v>190</v>
      </c>
      <c r="H48" s="13" t="s">
        <v>40</v>
      </c>
      <c r="I48" s="12">
        <v>2025</v>
      </c>
      <c r="J48" s="13" t="s">
        <v>191</v>
      </c>
      <c r="K48" s="12">
        <v>9785961497601</v>
      </c>
      <c r="L48" s="13" t="s">
        <v>192</v>
      </c>
      <c r="M48" s="12">
        <v>464</v>
      </c>
      <c r="N48" s="14">
        <v>0.36</v>
      </c>
      <c r="O48" s="12">
        <v>140</v>
      </c>
      <c r="P48" s="12">
        <v>200</v>
      </c>
      <c r="Q48" s="12">
        <v>6</v>
      </c>
      <c r="R48" s="13" t="s">
        <v>43</v>
      </c>
      <c r="S48" s="13" t="s">
        <v>193</v>
      </c>
      <c r="T48" s="15">
        <v>3000</v>
      </c>
      <c r="U48" s="13" t="s">
        <v>44</v>
      </c>
      <c r="V48" s="13" t="s">
        <v>45</v>
      </c>
      <c r="W48" s="12">
        <v>10</v>
      </c>
      <c r="X48" s="33" t="str">
        <f>HYPERLINK("https://www.alpinabook.ru/catalog/book-razve-my-ne-mozhem-byt-podrugami","ссылка на книгу")</f>
        <v>ссылка на книгу</v>
      </c>
      <c r="Y48" s="34" t="str">
        <f>HYPERLINK("https://api-enni.alpina.ru/FilePrivilegesApproval/857","https://api-enni.alpina.ru/FilePrivilegesApproval/857")</f>
        <v>https://api-enni.alpina.ru/FilePrivilegesApproval/857</v>
      </c>
      <c r="Z48" s="13" t="s">
        <v>194</v>
      </c>
      <c r="AT48" s="1">
        <f t="shared" si="0"/>
        <v>0</v>
      </c>
      <c r="AU48" s="1">
        <f t="shared" si="1"/>
        <v>0</v>
      </c>
      <c r="AV48" s="1">
        <f t="shared" si="2"/>
        <v>0</v>
      </c>
      <c r="AW48" s="1">
        <f t="shared" si="3"/>
        <v>0</v>
      </c>
      <c r="AX48" s="1">
        <f t="shared" si="4"/>
        <v>0</v>
      </c>
    </row>
    <row r="49" spans="1:50" s="1" customFormat="1" ht="24.95" customHeight="1" outlineLevel="1" x14ac:dyDescent="0.2">
      <c r="A49" s="11"/>
      <c r="B49" s="12">
        <v>380</v>
      </c>
      <c r="C49" s="12">
        <v>590</v>
      </c>
      <c r="D49" s="12">
        <v>30991</v>
      </c>
      <c r="E49" s="13" t="s">
        <v>183</v>
      </c>
      <c r="F49" s="13" t="s">
        <v>195</v>
      </c>
      <c r="G49" s="13" t="s">
        <v>56</v>
      </c>
      <c r="H49" s="13" t="s">
        <v>40</v>
      </c>
      <c r="I49" s="12">
        <v>2025</v>
      </c>
      <c r="J49" s="13" t="s">
        <v>196</v>
      </c>
      <c r="K49" s="12">
        <v>9785961497151</v>
      </c>
      <c r="L49" s="13" t="s">
        <v>197</v>
      </c>
      <c r="M49" s="12">
        <v>445</v>
      </c>
      <c r="N49" s="14">
        <v>0.28999999999999998</v>
      </c>
      <c r="O49" s="12">
        <v>120</v>
      </c>
      <c r="P49" s="12">
        <v>170</v>
      </c>
      <c r="Q49" s="12">
        <v>24</v>
      </c>
      <c r="R49" s="13" t="s">
        <v>75</v>
      </c>
      <c r="S49" s="13" t="s">
        <v>187</v>
      </c>
      <c r="T49" s="15">
        <v>4000</v>
      </c>
      <c r="U49" s="13" t="s">
        <v>44</v>
      </c>
      <c r="V49" s="13" t="s">
        <v>59</v>
      </c>
      <c r="W49" s="12">
        <v>10</v>
      </c>
      <c r="X49" s="33" t="str">
        <f>HYPERLINK("https://www.alpinabook.ru/catalog/book-rebenok-optimist","ссылка на книгу")</f>
        <v>ссылка на книгу</v>
      </c>
      <c r="Y49" s="34" t="str">
        <f>HYPERLINK("https://api-enni.alpina.ru/FilePrivilegesApproval/831","https://api-enni.alpina.ru/FilePrivilegesApproval/831")</f>
        <v>https://api-enni.alpina.ru/FilePrivilegesApproval/831</v>
      </c>
      <c r="Z49" s="13" t="s">
        <v>142</v>
      </c>
      <c r="AT49" s="1">
        <f t="shared" si="0"/>
        <v>0</v>
      </c>
      <c r="AU49" s="1">
        <f t="shared" si="1"/>
        <v>0</v>
      </c>
      <c r="AV49" s="1">
        <f t="shared" si="2"/>
        <v>0</v>
      </c>
      <c r="AW49" s="1">
        <f t="shared" si="3"/>
        <v>0</v>
      </c>
      <c r="AX49" s="1">
        <f t="shared" si="4"/>
        <v>0</v>
      </c>
    </row>
    <row r="50" spans="1:50" s="1" customFormat="1" ht="21.95" customHeight="1" outlineLevel="1" x14ac:dyDescent="0.2">
      <c r="A50" s="11"/>
      <c r="B50" s="12">
        <v>690</v>
      </c>
      <c r="C50" s="12">
        <v>990</v>
      </c>
      <c r="D50" s="12">
        <v>30477</v>
      </c>
      <c r="E50" s="13" t="s">
        <v>198</v>
      </c>
      <c r="F50" s="13" t="s">
        <v>199</v>
      </c>
      <c r="G50" s="13" t="s">
        <v>121</v>
      </c>
      <c r="H50" s="13" t="s">
        <v>200</v>
      </c>
      <c r="I50" s="12">
        <v>2025</v>
      </c>
      <c r="J50" s="13" t="s">
        <v>201</v>
      </c>
      <c r="K50" s="12">
        <v>9785961495621</v>
      </c>
      <c r="L50" s="13" t="s">
        <v>202</v>
      </c>
      <c r="M50" s="12">
        <v>480</v>
      </c>
      <c r="N50" s="14">
        <v>0.45</v>
      </c>
      <c r="O50" s="12">
        <v>140</v>
      </c>
      <c r="P50" s="12">
        <v>210</v>
      </c>
      <c r="Q50" s="12">
        <v>4</v>
      </c>
      <c r="R50" s="13" t="s">
        <v>43</v>
      </c>
      <c r="S50" s="13"/>
      <c r="T50" s="15">
        <v>3000</v>
      </c>
      <c r="U50" s="13" t="s">
        <v>44</v>
      </c>
      <c r="V50" s="13" t="s">
        <v>89</v>
      </c>
      <c r="W50" s="12">
        <v>20</v>
      </c>
      <c r="X50" s="33" t="str">
        <f>HYPERLINK("https://www.alpinabook.ru/catalog/book-serdtse-vne-igry","ссылка на книгу")</f>
        <v>ссылка на книгу</v>
      </c>
      <c r="Y50" s="34" t="str">
        <f>HYPERLINK("","")</f>
        <v/>
      </c>
      <c r="Z50" s="13" t="s">
        <v>132</v>
      </c>
      <c r="AT50" s="1">
        <f t="shared" si="0"/>
        <v>0</v>
      </c>
      <c r="AU50" s="1">
        <f t="shared" si="1"/>
        <v>0</v>
      </c>
      <c r="AV50" s="1">
        <f t="shared" si="2"/>
        <v>0</v>
      </c>
      <c r="AW50" s="1">
        <f t="shared" si="3"/>
        <v>0</v>
      </c>
      <c r="AX50" s="1">
        <f t="shared" si="4"/>
        <v>0</v>
      </c>
    </row>
    <row r="51" spans="1:50" s="1" customFormat="1" ht="24.95" customHeight="1" outlineLevel="1" x14ac:dyDescent="0.2">
      <c r="A51" s="11"/>
      <c r="B51" s="12">
        <v>640</v>
      </c>
      <c r="C51" s="12">
        <v>940</v>
      </c>
      <c r="D51" s="12">
        <v>32965</v>
      </c>
      <c r="E51" s="13" t="s">
        <v>203</v>
      </c>
      <c r="F51" s="13" t="s">
        <v>204</v>
      </c>
      <c r="G51" s="13" t="s">
        <v>56</v>
      </c>
      <c r="H51" s="13"/>
      <c r="I51" s="12">
        <v>2025</v>
      </c>
      <c r="J51" s="13" t="s">
        <v>205</v>
      </c>
      <c r="K51" s="12">
        <v>9785006303539</v>
      </c>
      <c r="L51" s="13" t="s">
        <v>206</v>
      </c>
      <c r="M51" s="12">
        <v>264</v>
      </c>
      <c r="N51" s="14">
        <v>0.32</v>
      </c>
      <c r="O51" s="12">
        <v>150</v>
      </c>
      <c r="P51" s="12">
        <v>220</v>
      </c>
      <c r="Q51" s="12">
        <v>14</v>
      </c>
      <c r="R51" s="13" t="s">
        <v>43</v>
      </c>
      <c r="S51" s="13"/>
      <c r="T51" s="15">
        <v>2000</v>
      </c>
      <c r="U51" s="13" t="s">
        <v>52</v>
      </c>
      <c r="V51" s="13" t="s">
        <v>45</v>
      </c>
      <c r="W51" s="12">
        <v>10</v>
      </c>
      <c r="X51" s="33" t="str">
        <f>HYPERLINK("https://www.alpinabook.ru/catalog/book-siriyskie-mistiki","ссылка на книгу")</f>
        <v>ссылка на книгу</v>
      </c>
      <c r="Y51" s="34" t="str">
        <f>HYPERLINK("https://api-enni.alpina.ru/FilePrivilegesApproval/831","https://api-enni.alpina.ru/FilePrivilegesApproval/831")</f>
        <v>https://api-enni.alpina.ru/FilePrivilegesApproval/831</v>
      </c>
      <c r="Z51" s="13" t="s">
        <v>77</v>
      </c>
      <c r="AT51" s="1">
        <f t="shared" si="0"/>
        <v>0</v>
      </c>
      <c r="AU51" s="1">
        <f t="shared" si="1"/>
        <v>0</v>
      </c>
      <c r="AV51" s="1">
        <f t="shared" si="2"/>
        <v>0</v>
      </c>
      <c r="AW51" s="1">
        <f t="shared" si="3"/>
        <v>0</v>
      </c>
      <c r="AX51" s="1">
        <f t="shared" si="4"/>
        <v>0</v>
      </c>
    </row>
    <row r="52" spans="1:50" s="1" customFormat="1" ht="21.95" customHeight="1" outlineLevel="1" x14ac:dyDescent="0.2">
      <c r="A52" s="11"/>
      <c r="B52" s="12">
        <v>890</v>
      </c>
      <c r="C52" s="15">
        <v>1290</v>
      </c>
      <c r="D52" s="12">
        <v>33940</v>
      </c>
      <c r="E52" s="13" t="s">
        <v>207</v>
      </c>
      <c r="F52" s="13" t="s">
        <v>208</v>
      </c>
      <c r="G52" s="13" t="s">
        <v>56</v>
      </c>
      <c r="H52" s="13" t="s">
        <v>40</v>
      </c>
      <c r="I52" s="12">
        <v>2025</v>
      </c>
      <c r="J52" s="13" t="s">
        <v>209</v>
      </c>
      <c r="K52" s="12">
        <v>9785006306011</v>
      </c>
      <c r="L52" s="13" t="s">
        <v>210</v>
      </c>
      <c r="M52" s="12">
        <v>668</v>
      </c>
      <c r="N52" s="14">
        <v>0.75</v>
      </c>
      <c r="O52" s="12">
        <v>150</v>
      </c>
      <c r="P52" s="12">
        <v>220</v>
      </c>
      <c r="Q52" s="12">
        <v>4</v>
      </c>
      <c r="R52" s="13" t="s">
        <v>43</v>
      </c>
      <c r="S52" s="13"/>
      <c r="T52" s="15">
        <v>1000</v>
      </c>
      <c r="U52" s="13" t="s">
        <v>52</v>
      </c>
      <c r="V52" s="13" t="s">
        <v>59</v>
      </c>
      <c r="W52" s="12">
        <v>20</v>
      </c>
      <c r="X52" s="33" t="str">
        <f>HYPERLINK("https://www.alpinabook.ru/catalog/book-sotsialnaya-set-izmenivshaya-mir","ссылка на книгу")</f>
        <v>ссылка на книгу</v>
      </c>
      <c r="Y52" s="34" t="str">
        <f>HYPERLINK("","")</f>
        <v/>
      </c>
      <c r="Z52" s="13" t="s">
        <v>65</v>
      </c>
      <c r="AT52" s="1">
        <f t="shared" si="0"/>
        <v>0</v>
      </c>
      <c r="AU52" s="1">
        <f t="shared" si="1"/>
        <v>0</v>
      </c>
      <c r="AV52" s="1">
        <f t="shared" si="2"/>
        <v>0</v>
      </c>
      <c r="AW52" s="1">
        <f t="shared" si="3"/>
        <v>0</v>
      </c>
      <c r="AX52" s="1">
        <f t="shared" si="4"/>
        <v>0</v>
      </c>
    </row>
    <row r="53" spans="1:50" s="1" customFormat="1" ht="21.95" customHeight="1" outlineLevel="1" x14ac:dyDescent="0.2">
      <c r="A53" s="11"/>
      <c r="B53" s="15">
        <v>1190</v>
      </c>
      <c r="C53" s="15">
        <v>1690</v>
      </c>
      <c r="D53" s="12">
        <v>33286</v>
      </c>
      <c r="E53" s="13" t="s">
        <v>211</v>
      </c>
      <c r="F53" s="13" t="s">
        <v>212</v>
      </c>
      <c r="G53" s="13" t="s">
        <v>97</v>
      </c>
      <c r="H53" s="13"/>
      <c r="I53" s="12">
        <v>2025</v>
      </c>
      <c r="J53" s="13" t="s">
        <v>213</v>
      </c>
      <c r="K53" s="12">
        <v>9785206004632</v>
      </c>
      <c r="L53" s="13" t="s">
        <v>214</v>
      </c>
      <c r="M53" s="12">
        <v>320</v>
      </c>
      <c r="N53" s="14">
        <v>0.59</v>
      </c>
      <c r="O53" s="12">
        <v>150</v>
      </c>
      <c r="P53" s="12">
        <v>220</v>
      </c>
      <c r="Q53" s="12">
        <v>5</v>
      </c>
      <c r="R53" s="13" t="s">
        <v>43</v>
      </c>
      <c r="S53" s="13"/>
      <c r="T53" s="15">
        <v>5005</v>
      </c>
      <c r="U53" s="13" t="s">
        <v>52</v>
      </c>
      <c r="V53" s="13" t="s">
        <v>45</v>
      </c>
      <c r="W53" s="12">
        <v>10</v>
      </c>
      <c r="X53" s="33" t="str">
        <f>HYPERLINK("https://www.alpinabook.ru/catalog/book-sotsialnyy-kapital","ссылка на книгу")</f>
        <v>ссылка на книгу</v>
      </c>
      <c r="Y53" s="34" t="str">
        <f>HYPERLINK("","")</f>
        <v/>
      </c>
      <c r="Z53" s="13" t="s">
        <v>65</v>
      </c>
      <c r="AT53" s="1">
        <f t="shared" si="0"/>
        <v>0</v>
      </c>
      <c r="AU53" s="1">
        <f t="shared" si="1"/>
        <v>0</v>
      </c>
      <c r="AV53" s="1">
        <f t="shared" si="2"/>
        <v>0</v>
      </c>
      <c r="AW53" s="1">
        <f t="shared" si="3"/>
        <v>0</v>
      </c>
      <c r="AX53" s="1">
        <f t="shared" si="4"/>
        <v>0</v>
      </c>
    </row>
    <row r="54" spans="1:50" s="1" customFormat="1" ht="24.95" customHeight="1" outlineLevel="1" x14ac:dyDescent="0.2">
      <c r="A54" s="11"/>
      <c r="B54" s="12">
        <v>690</v>
      </c>
      <c r="C54" s="12">
        <v>990</v>
      </c>
      <c r="D54" s="12">
        <v>26578</v>
      </c>
      <c r="E54" s="13" t="s">
        <v>179</v>
      </c>
      <c r="F54" s="13" t="s">
        <v>215</v>
      </c>
      <c r="G54" s="13" t="s">
        <v>56</v>
      </c>
      <c r="H54" s="13"/>
      <c r="I54" s="12">
        <v>2025</v>
      </c>
      <c r="J54" s="13" t="s">
        <v>216</v>
      </c>
      <c r="K54" s="12">
        <v>9785961482270</v>
      </c>
      <c r="L54" s="13" t="s">
        <v>217</v>
      </c>
      <c r="M54" s="12">
        <v>373</v>
      </c>
      <c r="N54" s="14">
        <v>0.55000000000000004</v>
      </c>
      <c r="O54" s="12">
        <v>150</v>
      </c>
      <c r="P54" s="12">
        <v>220</v>
      </c>
      <c r="Q54" s="12">
        <v>12</v>
      </c>
      <c r="R54" s="13" t="s">
        <v>43</v>
      </c>
      <c r="S54" s="13"/>
      <c r="T54" s="15">
        <v>3000</v>
      </c>
      <c r="U54" s="13" t="s">
        <v>52</v>
      </c>
      <c r="V54" s="13" t="s">
        <v>45</v>
      </c>
      <c r="W54" s="12">
        <v>10</v>
      </c>
      <c r="X54" s="33" t="str">
        <f>HYPERLINK("https://www.alpinabook.ru/catalog/book-tayny-nashego-bessoznatelnogo","ссылка на книгу")</f>
        <v>ссылка на книгу</v>
      </c>
      <c r="Y54" s="34" t="str">
        <f>HYPERLINK("https://api-enni.alpina.ru/FilePrivilegesApproval/856","https://api-enni.alpina.ru/FilePrivilegesApproval/856")</f>
        <v>https://api-enni.alpina.ru/FilePrivilegesApproval/856</v>
      </c>
      <c r="Z54" s="13" t="s">
        <v>83</v>
      </c>
      <c r="AT54" s="1">
        <f t="shared" si="0"/>
        <v>0</v>
      </c>
      <c r="AU54" s="1">
        <f t="shared" si="1"/>
        <v>0</v>
      </c>
      <c r="AV54" s="1">
        <f t="shared" si="2"/>
        <v>0</v>
      </c>
      <c r="AW54" s="1">
        <f t="shared" si="3"/>
        <v>0</v>
      </c>
      <c r="AX54" s="1">
        <f t="shared" si="4"/>
        <v>0</v>
      </c>
    </row>
    <row r="55" spans="1:50" s="1" customFormat="1" ht="21.95" customHeight="1" outlineLevel="1" x14ac:dyDescent="0.2">
      <c r="A55" s="11"/>
      <c r="B55" s="12">
        <v>600</v>
      </c>
      <c r="C55" s="12">
        <v>890</v>
      </c>
      <c r="D55" s="12">
        <v>32049</v>
      </c>
      <c r="E55" s="13" t="s">
        <v>218</v>
      </c>
      <c r="F55" s="13" t="s">
        <v>219</v>
      </c>
      <c r="G55" s="13" t="s">
        <v>121</v>
      </c>
      <c r="H55" s="13" t="s">
        <v>40</v>
      </c>
      <c r="I55" s="12">
        <v>2025</v>
      </c>
      <c r="J55" s="13" t="s">
        <v>220</v>
      </c>
      <c r="K55" s="12">
        <v>9785006301030</v>
      </c>
      <c r="L55" s="13" t="s">
        <v>221</v>
      </c>
      <c r="M55" s="12">
        <v>400</v>
      </c>
      <c r="N55" s="14">
        <v>0.38</v>
      </c>
      <c r="O55" s="12">
        <v>140</v>
      </c>
      <c r="P55" s="12">
        <v>210</v>
      </c>
      <c r="Q55" s="12">
        <v>6</v>
      </c>
      <c r="R55" s="13" t="s">
        <v>43</v>
      </c>
      <c r="S55" s="13"/>
      <c r="T55" s="15">
        <v>3000</v>
      </c>
      <c r="U55" s="13" t="s">
        <v>44</v>
      </c>
      <c r="V55" s="13" t="s">
        <v>89</v>
      </c>
      <c r="W55" s="12">
        <v>20</v>
      </c>
      <c r="X55" s="33" t="str">
        <f>HYPERLINK("https://www.alpinabook.ru/catalog/book-takaya-smeshnaya-lyubov","ссылка на книгу")</f>
        <v>ссылка на книгу</v>
      </c>
      <c r="Y55" s="34" t="str">
        <f>HYPERLINK("","")</f>
        <v/>
      </c>
      <c r="Z55" s="13" t="s">
        <v>132</v>
      </c>
      <c r="AT55" s="1">
        <f t="shared" si="0"/>
        <v>0</v>
      </c>
      <c r="AU55" s="1">
        <f t="shared" si="1"/>
        <v>0</v>
      </c>
      <c r="AV55" s="1">
        <f t="shared" si="2"/>
        <v>0</v>
      </c>
      <c r="AW55" s="1">
        <f t="shared" si="3"/>
        <v>0</v>
      </c>
      <c r="AX55" s="1">
        <f t="shared" si="4"/>
        <v>0</v>
      </c>
    </row>
    <row r="56" spans="1:50" s="1" customFormat="1" ht="21.95" customHeight="1" outlineLevel="1" x14ac:dyDescent="0.2">
      <c r="A56" s="11"/>
      <c r="B56" s="12">
        <v>590</v>
      </c>
      <c r="C56" s="12">
        <v>840</v>
      </c>
      <c r="D56" s="12">
        <v>31911</v>
      </c>
      <c r="E56" s="13" t="s">
        <v>222</v>
      </c>
      <c r="F56" s="13" t="s">
        <v>223</v>
      </c>
      <c r="G56" s="13" t="s">
        <v>39</v>
      </c>
      <c r="H56" s="13"/>
      <c r="I56" s="12">
        <v>2025</v>
      </c>
      <c r="J56" s="13" t="s">
        <v>224</v>
      </c>
      <c r="K56" s="12">
        <v>9785002234424</v>
      </c>
      <c r="L56" s="13" t="s">
        <v>225</v>
      </c>
      <c r="M56" s="12">
        <v>224</v>
      </c>
      <c r="N56" s="14">
        <v>0.25</v>
      </c>
      <c r="O56" s="12">
        <v>130</v>
      </c>
      <c r="P56" s="12">
        <v>210</v>
      </c>
      <c r="Q56" s="12">
        <v>16</v>
      </c>
      <c r="R56" s="13" t="s">
        <v>82</v>
      </c>
      <c r="S56" s="13"/>
      <c r="T56" s="15">
        <v>1500</v>
      </c>
      <c r="U56" s="13" t="s">
        <v>52</v>
      </c>
      <c r="V56" s="13" t="s">
        <v>89</v>
      </c>
      <c r="W56" s="12">
        <v>20</v>
      </c>
      <c r="X56" s="33" t="str">
        <f>HYPERLINK("https://www.alpinabook.ru/catalog/book-tem-legche","ссылка на книгу")</f>
        <v>ссылка на книгу</v>
      </c>
      <c r="Y56" s="34" t="str">
        <f>HYPERLINK("","")</f>
        <v/>
      </c>
      <c r="Z56" s="13" t="s">
        <v>77</v>
      </c>
      <c r="AT56" s="1">
        <f t="shared" si="0"/>
        <v>0</v>
      </c>
      <c r="AU56" s="1">
        <f t="shared" si="1"/>
        <v>0</v>
      </c>
      <c r="AV56" s="1">
        <f t="shared" si="2"/>
        <v>0</v>
      </c>
      <c r="AW56" s="1">
        <f t="shared" si="3"/>
        <v>0</v>
      </c>
      <c r="AX56" s="1">
        <f t="shared" si="4"/>
        <v>0</v>
      </c>
    </row>
    <row r="57" spans="1:50" s="1" customFormat="1" ht="21.95" customHeight="1" outlineLevel="1" x14ac:dyDescent="0.2">
      <c r="A57" s="11"/>
      <c r="B57" s="12">
        <v>550</v>
      </c>
      <c r="C57" s="12">
        <v>790</v>
      </c>
      <c r="D57" s="12">
        <v>32782</v>
      </c>
      <c r="E57" s="13" t="s">
        <v>226</v>
      </c>
      <c r="F57" s="13" t="s">
        <v>227</v>
      </c>
      <c r="G57" s="13" t="s">
        <v>121</v>
      </c>
      <c r="H57" s="13"/>
      <c r="I57" s="12">
        <v>2025</v>
      </c>
      <c r="J57" s="13" t="s">
        <v>228</v>
      </c>
      <c r="K57" s="12">
        <v>9785006303058</v>
      </c>
      <c r="L57" s="13" t="s">
        <v>229</v>
      </c>
      <c r="M57" s="12">
        <v>304</v>
      </c>
      <c r="N57" s="14">
        <v>0.28999999999999998</v>
      </c>
      <c r="O57" s="12">
        <v>140</v>
      </c>
      <c r="P57" s="12">
        <v>210</v>
      </c>
      <c r="Q57" s="12">
        <v>6</v>
      </c>
      <c r="R57" s="13" t="s">
        <v>43</v>
      </c>
      <c r="S57" s="13"/>
      <c r="T57" s="15">
        <v>3000</v>
      </c>
      <c r="U57" s="13" t="s">
        <v>44</v>
      </c>
      <c r="V57" s="13" t="s">
        <v>89</v>
      </c>
      <c r="W57" s="12">
        <v>20</v>
      </c>
      <c r="X57" s="33" t="str">
        <f>HYPERLINK("https://www.alpinabook.ru/catalog/book-tru-kraym-svidaniya","ссылка на книгу")</f>
        <v>ссылка на книгу</v>
      </c>
      <c r="Y57" s="34" t="str">
        <f>HYPERLINK("","")</f>
        <v/>
      </c>
      <c r="Z57" s="13" t="s">
        <v>132</v>
      </c>
      <c r="AT57" s="1">
        <f t="shared" si="0"/>
        <v>0</v>
      </c>
      <c r="AU57" s="1">
        <f t="shared" si="1"/>
        <v>0</v>
      </c>
      <c r="AV57" s="1">
        <f t="shared" si="2"/>
        <v>0</v>
      </c>
      <c r="AW57" s="1">
        <f t="shared" si="3"/>
        <v>0</v>
      </c>
      <c r="AX57" s="1">
        <f t="shared" si="4"/>
        <v>0</v>
      </c>
    </row>
    <row r="58" spans="1:50" s="1" customFormat="1" ht="24.95" customHeight="1" outlineLevel="1" x14ac:dyDescent="0.2">
      <c r="A58" s="11"/>
      <c r="B58" s="12">
        <v>540</v>
      </c>
      <c r="C58" s="12">
        <v>790</v>
      </c>
      <c r="D58" s="12">
        <v>33325</v>
      </c>
      <c r="E58" s="13" t="s">
        <v>230</v>
      </c>
      <c r="F58" s="13" t="s">
        <v>231</v>
      </c>
      <c r="G58" s="13" t="s">
        <v>56</v>
      </c>
      <c r="H58" s="13"/>
      <c r="I58" s="12">
        <v>2025</v>
      </c>
      <c r="J58" s="13" t="s">
        <v>232</v>
      </c>
      <c r="K58" s="12">
        <v>9785006304284</v>
      </c>
      <c r="L58" s="13" t="s">
        <v>233</v>
      </c>
      <c r="M58" s="12">
        <v>298</v>
      </c>
      <c r="N58" s="14">
        <v>0.38</v>
      </c>
      <c r="O58" s="12">
        <v>140</v>
      </c>
      <c r="P58" s="12">
        <v>210</v>
      </c>
      <c r="Q58" s="12">
        <v>14</v>
      </c>
      <c r="R58" s="13" t="s">
        <v>43</v>
      </c>
      <c r="S58" s="13"/>
      <c r="T58" s="15">
        <v>3000</v>
      </c>
      <c r="U58" s="13" t="s">
        <v>44</v>
      </c>
      <c r="V58" s="13" t="s">
        <v>89</v>
      </c>
      <c r="W58" s="12">
        <v>10</v>
      </c>
      <c r="X58" s="33" t="str">
        <f>HYPERLINK("https://www.alpinabook.ru/catalog/book-chisto-rossiyskoe-prestuplenie","ссылка на книгу")</f>
        <v>ссылка на книгу</v>
      </c>
      <c r="Y58" s="34" t="str">
        <f>HYPERLINK("https://api-enni.alpina.ru/FilePrivilegesApproval/856","https://api-enni.alpina.ru/FilePrivilegesApproval/856")</f>
        <v>https://api-enni.alpina.ru/FilePrivilegesApproval/856</v>
      </c>
      <c r="Z58" s="13" t="s">
        <v>70</v>
      </c>
      <c r="AT58" s="1">
        <f t="shared" si="0"/>
        <v>0</v>
      </c>
      <c r="AU58" s="1">
        <f t="shared" si="1"/>
        <v>0</v>
      </c>
      <c r="AV58" s="1">
        <f t="shared" si="2"/>
        <v>0</v>
      </c>
      <c r="AW58" s="1">
        <f t="shared" si="3"/>
        <v>0</v>
      </c>
      <c r="AX58" s="1">
        <f t="shared" si="4"/>
        <v>0</v>
      </c>
    </row>
    <row r="59" spans="1:50" s="1" customFormat="1" ht="24.95" customHeight="1" outlineLevel="1" x14ac:dyDescent="0.2">
      <c r="A59" s="11"/>
      <c r="B59" s="12">
        <v>390</v>
      </c>
      <c r="C59" s="12">
        <v>640</v>
      </c>
      <c r="D59" s="12">
        <v>31753</v>
      </c>
      <c r="E59" s="13" t="s">
        <v>234</v>
      </c>
      <c r="F59" s="13" t="s">
        <v>235</v>
      </c>
      <c r="G59" s="13" t="s">
        <v>190</v>
      </c>
      <c r="H59" s="13" t="s">
        <v>236</v>
      </c>
      <c r="I59" s="12">
        <v>2025</v>
      </c>
      <c r="J59" s="13" t="s">
        <v>237</v>
      </c>
      <c r="K59" s="12">
        <v>9785006300071</v>
      </c>
      <c r="L59" s="13" t="s">
        <v>238</v>
      </c>
      <c r="M59" s="12">
        <v>240</v>
      </c>
      <c r="N59" s="14">
        <v>0.2</v>
      </c>
      <c r="O59" s="12">
        <v>140</v>
      </c>
      <c r="P59" s="12">
        <v>200</v>
      </c>
      <c r="Q59" s="12">
        <v>14</v>
      </c>
      <c r="R59" s="13" t="s">
        <v>43</v>
      </c>
      <c r="S59" s="13" t="s">
        <v>193</v>
      </c>
      <c r="T59" s="15">
        <v>3000</v>
      </c>
      <c r="U59" s="13" t="s">
        <v>44</v>
      </c>
      <c r="V59" s="13" t="s">
        <v>45</v>
      </c>
      <c r="W59" s="12">
        <v>10</v>
      </c>
      <c r="X59" s="33" t="str">
        <f>HYPERLINK("https://www.alpinabook.ru/catalog/book-ya-mari-kyuri","ссылка на книгу")</f>
        <v>ссылка на книгу</v>
      </c>
      <c r="Y59" s="34" t="str">
        <f>HYPERLINK("https://api-enni.alpina.ru/FilePrivilegesApproval/796","https://api-enni.alpina.ru/FilePrivilegesApproval/796")</f>
        <v>https://api-enni.alpina.ru/FilePrivilegesApproval/796</v>
      </c>
      <c r="Z59" s="13" t="s">
        <v>83</v>
      </c>
      <c r="AT59" s="1">
        <f t="shared" si="0"/>
        <v>0</v>
      </c>
      <c r="AU59" s="1">
        <f t="shared" si="1"/>
        <v>0</v>
      </c>
      <c r="AV59" s="1">
        <f t="shared" si="2"/>
        <v>0</v>
      </c>
      <c r="AW59" s="1">
        <f t="shared" si="3"/>
        <v>0</v>
      </c>
      <c r="AX59" s="1">
        <f t="shared" si="4"/>
        <v>0</v>
      </c>
    </row>
    <row r="60" spans="1:50" ht="15" customHeight="1" x14ac:dyDescent="0.2">
      <c r="A60" s="48" t="s">
        <v>239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16"/>
    </row>
    <row r="61" spans="1:50" s="1" customFormat="1" ht="24.95" customHeight="1" outlineLevel="1" x14ac:dyDescent="0.2">
      <c r="A61" s="11"/>
      <c r="B61" s="12">
        <v>790</v>
      </c>
      <c r="C61" s="15">
        <v>1190</v>
      </c>
      <c r="D61" s="12">
        <v>28512</v>
      </c>
      <c r="E61" s="13" t="s">
        <v>240</v>
      </c>
      <c r="F61" s="13" t="s">
        <v>241</v>
      </c>
      <c r="G61" s="13" t="s">
        <v>56</v>
      </c>
      <c r="H61" s="13"/>
      <c r="I61" s="12">
        <v>2025</v>
      </c>
      <c r="J61" s="13" t="s">
        <v>242</v>
      </c>
      <c r="K61" s="12">
        <v>9785961489200</v>
      </c>
      <c r="L61" s="13" t="s">
        <v>243</v>
      </c>
      <c r="M61" s="12">
        <v>296</v>
      </c>
      <c r="N61" s="14">
        <v>0.55000000000000004</v>
      </c>
      <c r="O61" s="12">
        <v>170</v>
      </c>
      <c r="P61" s="12">
        <v>220</v>
      </c>
      <c r="Q61" s="12">
        <v>6</v>
      </c>
      <c r="R61" s="13" t="s">
        <v>100</v>
      </c>
      <c r="S61" s="13"/>
      <c r="T61" s="15">
        <v>2000</v>
      </c>
      <c r="U61" s="13" t="s">
        <v>44</v>
      </c>
      <c r="V61" s="13" t="s">
        <v>89</v>
      </c>
      <c r="W61" s="12">
        <v>10</v>
      </c>
      <c r="X61" s="33" t="str">
        <f>HYPERLINK("https://www.alpinabook.ru/catalog/book-byt-geniem","ссылка на книгу")</f>
        <v>ссылка на книгу</v>
      </c>
      <c r="Y61" s="34" t="str">
        <f>HYPERLINK("https://api-enni.alpina.ru/FilePrivilegesApproval/132","https://api-enni.alpina.ru/FilePrivilegesApproval/132")</f>
        <v>https://api-enni.alpina.ru/FilePrivilegesApproval/132</v>
      </c>
      <c r="Z61" s="13" t="s">
        <v>70</v>
      </c>
      <c r="AT61" s="1">
        <f t="shared" ref="AT61:AT92" si="5">IF($A61&lt;&gt;0,1,0)</f>
        <v>0</v>
      </c>
      <c r="AU61" s="1">
        <f t="shared" ref="AU61:AU92" si="6">$A61*$B61</f>
        <v>0</v>
      </c>
      <c r="AV61" s="1">
        <f t="shared" ref="AV61:AV92" si="7">$A61*$N61</f>
        <v>0</v>
      </c>
      <c r="AW61" s="1">
        <f t="shared" ref="AW61:AW92" si="8">IF($Q61=0,0,INT($A61/$Q61))</f>
        <v>0</v>
      </c>
      <c r="AX61" s="1">
        <f t="shared" ref="AX61:AX92" si="9">$A61-$AW61*$Q61</f>
        <v>0</v>
      </c>
    </row>
    <row r="62" spans="1:50" s="1" customFormat="1" ht="24.95" customHeight="1" outlineLevel="1" x14ac:dyDescent="0.2">
      <c r="A62" s="11"/>
      <c r="B62" s="12">
        <v>790</v>
      </c>
      <c r="C62" s="15">
        <v>1190</v>
      </c>
      <c r="D62" s="12">
        <v>8441</v>
      </c>
      <c r="E62" s="13" t="s">
        <v>244</v>
      </c>
      <c r="F62" s="13" t="s">
        <v>245</v>
      </c>
      <c r="G62" s="13" t="s">
        <v>56</v>
      </c>
      <c r="H62" s="13" t="s">
        <v>40</v>
      </c>
      <c r="I62" s="12">
        <v>2025</v>
      </c>
      <c r="J62" s="13" t="s">
        <v>246</v>
      </c>
      <c r="K62" s="12">
        <v>9785961469127</v>
      </c>
      <c r="L62" s="13" t="s">
        <v>247</v>
      </c>
      <c r="M62" s="12">
        <v>188</v>
      </c>
      <c r="N62" s="14">
        <v>0.33</v>
      </c>
      <c r="O62" s="12">
        <v>153</v>
      </c>
      <c r="P62" s="12">
        <v>216</v>
      </c>
      <c r="Q62" s="12">
        <v>10</v>
      </c>
      <c r="R62" s="13" t="s">
        <v>43</v>
      </c>
      <c r="S62" s="13" t="s">
        <v>248</v>
      </c>
      <c r="T62" s="15">
        <v>1000</v>
      </c>
      <c r="U62" s="13" t="s">
        <v>52</v>
      </c>
      <c r="V62" s="13" t="s">
        <v>64</v>
      </c>
      <c r="W62" s="12">
        <v>10</v>
      </c>
      <c r="X62" s="33" t="str">
        <f>HYPERLINK("https://www.alpinabook.ru/catalog/book-11-vragov-rukovoditelya","ссылка на книгу")</f>
        <v>ссылка на книгу</v>
      </c>
      <c r="Y62" s="34" t="str">
        <f>HYPERLINK("https://api-enni.alpina.ru/FilePrivilegesApproval/156","https://api-enni.alpina.ru/FilePrivilegesApproval/156")</f>
        <v>https://api-enni.alpina.ru/FilePrivilegesApproval/156</v>
      </c>
      <c r="Z62" s="13" t="s">
        <v>118</v>
      </c>
      <c r="AT62" s="1">
        <f t="shared" si="5"/>
        <v>0</v>
      </c>
      <c r="AU62" s="1">
        <f t="shared" si="6"/>
        <v>0</v>
      </c>
      <c r="AV62" s="1">
        <f t="shared" si="7"/>
        <v>0</v>
      </c>
      <c r="AW62" s="1">
        <f t="shared" si="8"/>
        <v>0</v>
      </c>
      <c r="AX62" s="1">
        <f t="shared" si="9"/>
        <v>0</v>
      </c>
    </row>
    <row r="63" spans="1:50" s="1" customFormat="1" ht="24.95" customHeight="1" outlineLevel="1" x14ac:dyDescent="0.2">
      <c r="A63" s="11"/>
      <c r="B63" s="12">
        <v>290</v>
      </c>
      <c r="C63" s="12">
        <v>440</v>
      </c>
      <c r="D63" s="12">
        <v>12405</v>
      </c>
      <c r="E63" s="13" t="s">
        <v>249</v>
      </c>
      <c r="F63" s="13" t="s">
        <v>250</v>
      </c>
      <c r="G63" s="13" t="s">
        <v>56</v>
      </c>
      <c r="H63" s="13" t="s">
        <v>40</v>
      </c>
      <c r="I63" s="12">
        <v>2025</v>
      </c>
      <c r="J63" s="13" t="s">
        <v>251</v>
      </c>
      <c r="K63" s="12">
        <v>9785961425185</v>
      </c>
      <c r="L63" s="13" t="s">
        <v>252</v>
      </c>
      <c r="M63" s="12">
        <v>262</v>
      </c>
      <c r="N63" s="14">
        <v>0.15</v>
      </c>
      <c r="O63" s="12">
        <v>120</v>
      </c>
      <c r="P63" s="12">
        <v>170</v>
      </c>
      <c r="Q63" s="12">
        <v>40</v>
      </c>
      <c r="R63" s="13" t="s">
        <v>75</v>
      </c>
      <c r="S63" s="13" t="s">
        <v>253</v>
      </c>
      <c r="T63" s="15">
        <v>2000</v>
      </c>
      <c r="U63" s="13" t="s">
        <v>44</v>
      </c>
      <c r="V63" s="13" t="s">
        <v>64</v>
      </c>
      <c r="W63" s="12">
        <v>10</v>
      </c>
      <c r="X63" s="33" t="str">
        <f>HYPERLINK("https://www.alpinabook.ru/catalog/book-15-sekretov-upravleniya-vremenem","ссылка на книгу")</f>
        <v>ссылка на книгу</v>
      </c>
      <c r="Y63" s="34" t="str">
        <f>HYPERLINK("https://api-enni.alpina.ru/FilePrivilegesApproval/157","https://api-enni.alpina.ru/FilePrivilegesApproval/157")</f>
        <v>https://api-enni.alpina.ru/FilePrivilegesApproval/157</v>
      </c>
      <c r="Z63" s="13" t="s">
        <v>46</v>
      </c>
      <c r="AT63" s="1">
        <f t="shared" si="5"/>
        <v>0</v>
      </c>
      <c r="AU63" s="1">
        <f t="shared" si="6"/>
        <v>0</v>
      </c>
      <c r="AV63" s="1">
        <f t="shared" si="7"/>
        <v>0</v>
      </c>
      <c r="AW63" s="1">
        <f t="shared" si="8"/>
        <v>0</v>
      </c>
      <c r="AX63" s="1">
        <f t="shared" si="9"/>
        <v>0</v>
      </c>
    </row>
    <row r="64" spans="1:50" s="1" customFormat="1" ht="24.95" customHeight="1" outlineLevel="1" x14ac:dyDescent="0.2">
      <c r="A64" s="11"/>
      <c r="B64" s="12">
        <v>690</v>
      </c>
      <c r="C64" s="12">
        <v>990</v>
      </c>
      <c r="D64" s="12">
        <v>21107</v>
      </c>
      <c r="E64" s="13" t="s">
        <v>254</v>
      </c>
      <c r="F64" s="13" t="s">
        <v>255</v>
      </c>
      <c r="G64" s="13" t="s">
        <v>56</v>
      </c>
      <c r="H64" s="13" t="s">
        <v>40</v>
      </c>
      <c r="I64" s="12">
        <v>2025</v>
      </c>
      <c r="J64" s="13" t="s">
        <v>256</v>
      </c>
      <c r="K64" s="12">
        <v>9785961475173</v>
      </c>
      <c r="L64" s="13" t="s">
        <v>257</v>
      </c>
      <c r="M64" s="12">
        <v>392</v>
      </c>
      <c r="N64" s="14">
        <v>0.6</v>
      </c>
      <c r="O64" s="12">
        <v>150</v>
      </c>
      <c r="P64" s="12">
        <v>220</v>
      </c>
      <c r="Q64" s="12">
        <v>5</v>
      </c>
      <c r="R64" s="13" t="s">
        <v>43</v>
      </c>
      <c r="S64" s="13"/>
      <c r="T64" s="15">
        <v>1000</v>
      </c>
      <c r="U64" s="13" t="s">
        <v>52</v>
      </c>
      <c r="V64" s="13" t="s">
        <v>64</v>
      </c>
      <c r="W64" s="12">
        <v>10</v>
      </c>
      <c r="X64" s="33" t="str">
        <f>HYPERLINK("https://www.alpinabook.ru/catalog/book-2030","ссылка на книгу")</f>
        <v>ссылка на книгу</v>
      </c>
      <c r="Y64" s="34" t="str">
        <f>HYPERLINK("https://api-enni.alpina.ru/FilePrivilegesApproval/122","https://api-enni.alpina.ru/FilePrivilegesApproval/122")</f>
        <v>https://api-enni.alpina.ru/FilePrivilegesApproval/122</v>
      </c>
      <c r="Z64" s="13" t="s">
        <v>118</v>
      </c>
      <c r="AT64" s="1">
        <f t="shared" si="5"/>
        <v>0</v>
      </c>
      <c r="AU64" s="1">
        <f t="shared" si="6"/>
        <v>0</v>
      </c>
      <c r="AV64" s="1">
        <f t="shared" si="7"/>
        <v>0</v>
      </c>
      <c r="AW64" s="1">
        <f t="shared" si="8"/>
        <v>0</v>
      </c>
      <c r="AX64" s="1">
        <f t="shared" si="9"/>
        <v>0</v>
      </c>
    </row>
    <row r="65" spans="1:50" s="1" customFormat="1" ht="24.95" customHeight="1" outlineLevel="1" x14ac:dyDescent="0.2">
      <c r="A65" s="11"/>
      <c r="B65" s="12">
        <v>290</v>
      </c>
      <c r="C65" s="12">
        <v>440</v>
      </c>
      <c r="D65" s="12">
        <v>12081</v>
      </c>
      <c r="E65" s="13" t="s">
        <v>258</v>
      </c>
      <c r="F65" s="13" t="s">
        <v>259</v>
      </c>
      <c r="G65" s="13" t="s">
        <v>56</v>
      </c>
      <c r="H65" s="13" t="s">
        <v>40</v>
      </c>
      <c r="I65" s="12">
        <v>2025</v>
      </c>
      <c r="J65" s="13" t="s">
        <v>260</v>
      </c>
      <c r="K65" s="12">
        <v>9785961421330</v>
      </c>
      <c r="L65" s="13" t="s">
        <v>261</v>
      </c>
      <c r="M65" s="12">
        <v>243</v>
      </c>
      <c r="N65" s="14">
        <v>0.17</v>
      </c>
      <c r="O65" s="12">
        <v>120</v>
      </c>
      <c r="P65" s="12">
        <v>170</v>
      </c>
      <c r="Q65" s="12">
        <v>12</v>
      </c>
      <c r="R65" s="13" t="s">
        <v>75</v>
      </c>
      <c r="S65" s="13" t="s">
        <v>253</v>
      </c>
      <c r="T65" s="15">
        <v>5000</v>
      </c>
      <c r="U65" s="13" t="s">
        <v>44</v>
      </c>
      <c r="V65" s="13" t="s">
        <v>64</v>
      </c>
      <c r="W65" s="12">
        <v>10</v>
      </c>
      <c r="X65" s="33" t="str">
        <f>HYPERLINK("https://www.alpinabook.ru/catalog/book-52-ponedelnika","ссылка на книгу")</f>
        <v>ссылка на книгу</v>
      </c>
      <c r="Y65" s="34" t="str">
        <f>HYPERLINK("https://api-enni.alpina.ru/FilePrivilegesApproval/121","https://api-enni.alpina.ru/FilePrivilegesApproval/121")</f>
        <v>https://api-enni.alpina.ru/FilePrivilegesApproval/121</v>
      </c>
      <c r="Z65" s="13" t="s">
        <v>262</v>
      </c>
      <c r="AT65" s="1">
        <f t="shared" si="5"/>
        <v>0</v>
      </c>
      <c r="AU65" s="1">
        <f t="shared" si="6"/>
        <v>0</v>
      </c>
      <c r="AV65" s="1">
        <f t="shared" si="7"/>
        <v>0</v>
      </c>
      <c r="AW65" s="1">
        <f t="shared" si="8"/>
        <v>0</v>
      </c>
      <c r="AX65" s="1">
        <f t="shared" si="9"/>
        <v>0</v>
      </c>
    </row>
    <row r="66" spans="1:50" s="1" customFormat="1" ht="21.95" customHeight="1" outlineLevel="1" x14ac:dyDescent="0.2">
      <c r="A66" s="11"/>
      <c r="B66" s="12">
        <v>840</v>
      </c>
      <c r="C66" s="15">
        <v>1290</v>
      </c>
      <c r="D66" s="12">
        <v>18111</v>
      </c>
      <c r="E66" s="13" t="s">
        <v>263</v>
      </c>
      <c r="F66" s="13" t="s">
        <v>264</v>
      </c>
      <c r="G66" s="13" t="s">
        <v>56</v>
      </c>
      <c r="H66" s="13" t="s">
        <v>164</v>
      </c>
      <c r="I66" s="12">
        <v>2024</v>
      </c>
      <c r="J66" s="13" t="s">
        <v>265</v>
      </c>
      <c r="K66" s="12">
        <v>9785961433265</v>
      </c>
      <c r="L66" s="13" t="s">
        <v>266</v>
      </c>
      <c r="M66" s="12">
        <v>286</v>
      </c>
      <c r="N66" s="14">
        <v>0.52</v>
      </c>
      <c r="O66" s="12">
        <v>150</v>
      </c>
      <c r="P66" s="12">
        <v>215</v>
      </c>
      <c r="Q66" s="12">
        <v>20</v>
      </c>
      <c r="R66" s="13" t="s">
        <v>43</v>
      </c>
      <c r="S66" s="13" t="s">
        <v>267</v>
      </c>
      <c r="T66" s="15">
        <v>24000</v>
      </c>
      <c r="U66" s="13" t="s">
        <v>268</v>
      </c>
      <c r="V66" s="13" t="s">
        <v>269</v>
      </c>
      <c r="W66" s="12">
        <v>20</v>
      </c>
      <c r="X66" s="33" t="str">
        <f>HYPERLINK("https://www.alpinabook.ru/catalog/book-6-minut","ссылка на книгу")</f>
        <v>ссылка на книгу</v>
      </c>
      <c r="Y66" s="34" t="str">
        <f>HYPERLINK("","")</f>
        <v/>
      </c>
      <c r="Z66" s="13"/>
      <c r="AT66" s="1">
        <f t="shared" si="5"/>
        <v>0</v>
      </c>
      <c r="AU66" s="1">
        <f t="shared" si="6"/>
        <v>0</v>
      </c>
      <c r="AV66" s="1">
        <f t="shared" si="7"/>
        <v>0</v>
      </c>
      <c r="AW66" s="1">
        <f t="shared" si="8"/>
        <v>0</v>
      </c>
      <c r="AX66" s="1">
        <f t="shared" si="9"/>
        <v>0</v>
      </c>
    </row>
    <row r="67" spans="1:50" s="1" customFormat="1" ht="21.95" customHeight="1" outlineLevel="1" x14ac:dyDescent="0.2">
      <c r="A67" s="11"/>
      <c r="B67" s="12">
        <v>840</v>
      </c>
      <c r="C67" s="15">
        <v>1290</v>
      </c>
      <c r="D67" s="12">
        <v>11341</v>
      </c>
      <c r="E67" s="13" t="s">
        <v>263</v>
      </c>
      <c r="F67" s="13" t="s">
        <v>270</v>
      </c>
      <c r="G67" s="13" t="s">
        <v>56</v>
      </c>
      <c r="H67" s="13" t="s">
        <v>164</v>
      </c>
      <c r="I67" s="12">
        <v>2024</v>
      </c>
      <c r="J67" s="13" t="s">
        <v>271</v>
      </c>
      <c r="K67" s="12">
        <v>9785961421309</v>
      </c>
      <c r="L67" s="13" t="s">
        <v>272</v>
      </c>
      <c r="M67" s="12">
        <v>286</v>
      </c>
      <c r="N67" s="14">
        <v>0.51</v>
      </c>
      <c r="O67" s="12">
        <v>150</v>
      </c>
      <c r="P67" s="12">
        <v>220</v>
      </c>
      <c r="Q67" s="12">
        <v>20</v>
      </c>
      <c r="R67" s="13" t="s">
        <v>43</v>
      </c>
      <c r="S67" s="13" t="s">
        <v>267</v>
      </c>
      <c r="T67" s="15">
        <v>24000</v>
      </c>
      <c r="U67" s="13" t="s">
        <v>268</v>
      </c>
      <c r="V67" s="13" t="s">
        <v>269</v>
      </c>
      <c r="W67" s="12">
        <v>20</v>
      </c>
      <c r="X67" s="33" t="str">
        <f>HYPERLINK("https://www.alpinabook.ru/catalog/book-6-minut","ссылка на книгу")</f>
        <v>ссылка на книгу</v>
      </c>
      <c r="Y67" s="34" t="str">
        <f>HYPERLINK("","")</f>
        <v/>
      </c>
      <c r="Z67" s="13"/>
      <c r="AT67" s="1">
        <f t="shared" si="5"/>
        <v>0</v>
      </c>
      <c r="AU67" s="1">
        <f t="shared" si="6"/>
        <v>0</v>
      </c>
      <c r="AV67" s="1">
        <f t="shared" si="7"/>
        <v>0</v>
      </c>
      <c r="AW67" s="1">
        <f t="shared" si="8"/>
        <v>0</v>
      </c>
      <c r="AX67" s="1">
        <f t="shared" si="9"/>
        <v>0</v>
      </c>
    </row>
    <row r="68" spans="1:50" s="1" customFormat="1" ht="24.95" customHeight="1" outlineLevel="1" x14ac:dyDescent="0.2">
      <c r="A68" s="11"/>
      <c r="B68" s="12">
        <v>690</v>
      </c>
      <c r="C68" s="12">
        <v>990</v>
      </c>
      <c r="D68" s="12">
        <v>31181</v>
      </c>
      <c r="E68" s="13" t="s">
        <v>273</v>
      </c>
      <c r="F68" s="13" t="s">
        <v>274</v>
      </c>
      <c r="G68" s="13" t="s">
        <v>56</v>
      </c>
      <c r="H68" s="13"/>
      <c r="I68" s="12">
        <v>2025</v>
      </c>
      <c r="J68" s="13" t="s">
        <v>275</v>
      </c>
      <c r="K68" s="12">
        <v>9785961497823</v>
      </c>
      <c r="L68" s="13" t="s">
        <v>276</v>
      </c>
      <c r="M68" s="12">
        <v>308</v>
      </c>
      <c r="N68" s="14">
        <v>0.4</v>
      </c>
      <c r="O68" s="12">
        <v>150</v>
      </c>
      <c r="P68" s="12">
        <v>210</v>
      </c>
      <c r="Q68" s="12">
        <v>16</v>
      </c>
      <c r="R68" s="13" t="s">
        <v>43</v>
      </c>
      <c r="S68" s="13"/>
      <c r="T68" s="15">
        <v>5000</v>
      </c>
      <c r="U68" s="13" t="s">
        <v>44</v>
      </c>
      <c r="V68" s="13" t="s">
        <v>59</v>
      </c>
      <c r="W68" s="12">
        <v>10</v>
      </c>
      <c r="X68" s="33" t="str">
        <f>HYPERLINK("https://www.alpinabook.ru/catalog/book-chatgpt-na-kazhdyy-den","ссылка на книгу")</f>
        <v>ссылка на книгу</v>
      </c>
      <c r="Y68" s="34" t="str">
        <f>HYPERLINK("https://api-enni.alpina.ru/FilePrivilegesApproval/571","https://api-enni.alpina.ru/FilePrivilegesApproval/571")</f>
        <v>https://api-enni.alpina.ru/FilePrivilegesApproval/571</v>
      </c>
      <c r="Z68" s="13" t="s">
        <v>277</v>
      </c>
      <c r="AT68" s="1">
        <f t="shared" si="5"/>
        <v>0</v>
      </c>
      <c r="AU68" s="1">
        <f t="shared" si="6"/>
        <v>0</v>
      </c>
      <c r="AV68" s="1">
        <f t="shared" si="7"/>
        <v>0</v>
      </c>
      <c r="AW68" s="1">
        <f t="shared" si="8"/>
        <v>0</v>
      </c>
      <c r="AX68" s="1">
        <f t="shared" si="9"/>
        <v>0</v>
      </c>
    </row>
    <row r="69" spans="1:50" s="1" customFormat="1" ht="24.95" customHeight="1" outlineLevel="1" x14ac:dyDescent="0.2">
      <c r="A69" s="11"/>
      <c r="B69" s="12">
        <v>890</v>
      </c>
      <c r="C69" s="15">
        <v>1290</v>
      </c>
      <c r="D69" s="12">
        <v>12214</v>
      </c>
      <c r="E69" s="13" t="s">
        <v>278</v>
      </c>
      <c r="F69" s="13" t="s">
        <v>279</v>
      </c>
      <c r="G69" s="13" t="s">
        <v>97</v>
      </c>
      <c r="H69" s="13" t="s">
        <v>40</v>
      </c>
      <c r="I69" s="12">
        <v>2024</v>
      </c>
      <c r="J69" s="13" t="s">
        <v>280</v>
      </c>
      <c r="K69" s="12">
        <v>9785604232071</v>
      </c>
      <c r="L69" s="13" t="s">
        <v>281</v>
      </c>
      <c r="M69" s="12">
        <v>296</v>
      </c>
      <c r="N69" s="14">
        <v>0.59</v>
      </c>
      <c r="O69" s="12">
        <v>171</v>
      </c>
      <c r="P69" s="12">
        <v>241</v>
      </c>
      <c r="Q69" s="12">
        <v>10</v>
      </c>
      <c r="R69" s="13" t="s">
        <v>94</v>
      </c>
      <c r="S69" s="13"/>
      <c r="T69" s="15">
        <v>1000</v>
      </c>
      <c r="U69" s="13" t="s">
        <v>52</v>
      </c>
      <c r="V69" s="13" t="s">
        <v>59</v>
      </c>
      <c r="W69" s="12">
        <v>10</v>
      </c>
      <c r="X69" s="33" t="str">
        <f>HYPERLINK("https://www.alpinabook.ru/catalog/book-digital-scale","ссылка на книгу")</f>
        <v>ссылка на книгу</v>
      </c>
      <c r="Y69" s="34" t="str">
        <f>HYPERLINK("https://api-enni.alpina.ru/FilePrivilegesApproval/129","https://api-enni.alpina.ru/FilePrivilegesApproval/129")</f>
        <v>https://api-enni.alpina.ru/FilePrivilegesApproval/129</v>
      </c>
      <c r="Z69" s="13" t="s">
        <v>282</v>
      </c>
      <c r="AT69" s="1">
        <f t="shared" si="5"/>
        <v>0</v>
      </c>
      <c r="AU69" s="1">
        <f t="shared" si="6"/>
        <v>0</v>
      </c>
      <c r="AV69" s="1">
        <f t="shared" si="7"/>
        <v>0</v>
      </c>
      <c r="AW69" s="1">
        <f t="shared" si="8"/>
        <v>0</v>
      </c>
      <c r="AX69" s="1">
        <f t="shared" si="9"/>
        <v>0</v>
      </c>
    </row>
    <row r="70" spans="1:50" s="1" customFormat="1" ht="21.95" customHeight="1" outlineLevel="1" x14ac:dyDescent="0.2">
      <c r="A70" s="11"/>
      <c r="B70" s="12">
        <v>590</v>
      </c>
      <c r="C70" s="12">
        <v>840</v>
      </c>
      <c r="D70" s="12">
        <v>23261</v>
      </c>
      <c r="E70" s="13" t="s">
        <v>283</v>
      </c>
      <c r="F70" s="13" t="s">
        <v>284</v>
      </c>
      <c r="G70" s="13" t="s">
        <v>56</v>
      </c>
      <c r="H70" s="13" t="s">
        <v>236</v>
      </c>
      <c r="I70" s="12">
        <v>2025</v>
      </c>
      <c r="J70" s="13" t="s">
        <v>285</v>
      </c>
      <c r="K70" s="12">
        <v>9785961437102</v>
      </c>
      <c r="L70" s="13" t="s">
        <v>286</v>
      </c>
      <c r="M70" s="12">
        <v>208</v>
      </c>
      <c r="N70" s="14">
        <v>0.37</v>
      </c>
      <c r="O70" s="12">
        <v>150</v>
      </c>
      <c r="P70" s="12">
        <v>220</v>
      </c>
      <c r="Q70" s="12">
        <v>16</v>
      </c>
      <c r="R70" s="13" t="s">
        <v>43</v>
      </c>
      <c r="S70" s="13"/>
      <c r="T70" s="15">
        <v>3000</v>
      </c>
      <c r="U70" s="13" t="s">
        <v>52</v>
      </c>
      <c r="V70" s="13" t="s">
        <v>89</v>
      </c>
      <c r="W70" s="12">
        <v>20</v>
      </c>
      <c r="X70" s="33" t="str">
        <f>HYPERLINK("https://www.alpinabook.ru/catalog/book-kakebo","ссылка на книгу")</f>
        <v>ссылка на книгу</v>
      </c>
      <c r="Y70" s="34" t="str">
        <f>HYPERLINK("","")</f>
        <v/>
      </c>
      <c r="Z70" s="13" t="s">
        <v>77</v>
      </c>
      <c r="AT70" s="1">
        <f t="shared" si="5"/>
        <v>0</v>
      </c>
      <c r="AU70" s="1">
        <f t="shared" si="6"/>
        <v>0</v>
      </c>
      <c r="AV70" s="1">
        <f t="shared" si="7"/>
        <v>0</v>
      </c>
      <c r="AW70" s="1">
        <f t="shared" si="8"/>
        <v>0</v>
      </c>
      <c r="AX70" s="1">
        <f t="shared" si="9"/>
        <v>0</v>
      </c>
    </row>
    <row r="71" spans="1:50" s="1" customFormat="1" ht="24.95" customHeight="1" outlineLevel="1" x14ac:dyDescent="0.2">
      <c r="A71" s="11"/>
      <c r="B71" s="12">
        <v>840</v>
      </c>
      <c r="C71" s="15">
        <v>1090</v>
      </c>
      <c r="D71" s="12">
        <v>25769</v>
      </c>
      <c r="E71" s="13" t="s">
        <v>287</v>
      </c>
      <c r="F71" s="13" t="s">
        <v>288</v>
      </c>
      <c r="G71" s="13" t="s">
        <v>97</v>
      </c>
      <c r="H71" s="13"/>
      <c r="I71" s="12">
        <v>2025</v>
      </c>
      <c r="J71" s="13" t="s">
        <v>289</v>
      </c>
      <c r="K71" s="12">
        <v>9785206000177</v>
      </c>
      <c r="L71" s="13" t="s">
        <v>290</v>
      </c>
      <c r="M71" s="12">
        <v>335</v>
      </c>
      <c r="N71" s="14">
        <v>0.5</v>
      </c>
      <c r="O71" s="12">
        <v>140</v>
      </c>
      <c r="P71" s="12">
        <v>200</v>
      </c>
      <c r="Q71" s="12">
        <v>8</v>
      </c>
      <c r="R71" s="13" t="s">
        <v>43</v>
      </c>
      <c r="S71" s="13"/>
      <c r="T71" s="15">
        <v>5000</v>
      </c>
      <c r="U71" s="13" t="s">
        <v>44</v>
      </c>
      <c r="V71" s="13" t="s">
        <v>59</v>
      </c>
      <c r="W71" s="12">
        <v>10</v>
      </c>
      <c r="X71" s="33" t="str">
        <f>HYPERLINK("https://www.alpinabook.ru/catalog/book-adekvatnost","ссылка на книгу")</f>
        <v>ссылка на книгу</v>
      </c>
      <c r="Y71" s="34" t="str">
        <f>HYPERLINK("https://api-enni.alpina.ru/FilePrivilegesApproval/167","https://api-enni.alpina.ru/FilePrivilegesApproval/167")</f>
        <v>https://api-enni.alpina.ru/FilePrivilegesApproval/167</v>
      </c>
      <c r="Z71" s="13" t="s">
        <v>65</v>
      </c>
      <c r="AT71" s="1">
        <f t="shared" si="5"/>
        <v>0</v>
      </c>
      <c r="AU71" s="1">
        <f t="shared" si="6"/>
        <v>0</v>
      </c>
      <c r="AV71" s="1">
        <f t="shared" si="7"/>
        <v>0</v>
      </c>
      <c r="AW71" s="1">
        <f t="shared" si="8"/>
        <v>0</v>
      </c>
      <c r="AX71" s="1">
        <f t="shared" si="9"/>
        <v>0</v>
      </c>
    </row>
    <row r="72" spans="1:50" s="1" customFormat="1" ht="24.95" customHeight="1" outlineLevel="1" x14ac:dyDescent="0.2">
      <c r="A72" s="11"/>
      <c r="B72" s="15">
        <v>1250</v>
      </c>
      <c r="C72" s="15">
        <v>1490</v>
      </c>
      <c r="D72" s="12">
        <v>1350</v>
      </c>
      <c r="E72" s="13" t="s">
        <v>291</v>
      </c>
      <c r="F72" s="13" t="s">
        <v>292</v>
      </c>
      <c r="G72" s="13" t="s">
        <v>39</v>
      </c>
      <c r="H72" s="13" t="s">
        <v>40</v>
      </c>
      <c r="I72" s="12">
        <v>2025</v>
      </c>
      <c r="J72" s="13" t="s">
        <v>293</v>
      </c>
      <c r="K72" s="12">
        <v>9785961467420</v>
      </c>
      <c r="L72" s="13" t="s">
        <v>294</v>
      </c>
      <c r="M72" s="15">
        <v>1408</v>
      </c>
      <c r="N72" s="14">
        <v>1.68</v>
      </c>
      <c r="O72" s="12">
        <v>150</v>
      </c>
      <c r="P72" s="12">
        <v>220</v>
      </c>
      <c r="Q72" s="12">
        <v>2</v>
      </c>
      <c r="R72" s="13" t="s">
        <v>43</v>
      </c>
      <c r="S72" s="13"/>
      <c r="T72" s="15">
        <v>20000</v>
      </c>
      <c r="U72" s="13" t="s">
        <v>52</v>
      </c>
      <c r="V72" s="13" t="s">
        <v>45</v>
      </c>
      <c r="W72" s="12">
        <v>10</v>
      </c>
      <c r="X72" s="33" t="str">
        <f>HYPERLINK("https://www.alpinabook.ru/catalog/book-atlant-raspravil-plechi","ссылка на книгу")</f>
        <v>ссылка на книгу</v>
      </c>
      <c r="Y72" s="34" t="str">
        <f>HYPERLINK("https://api-enni.alpina.ru/FilePrivilegesApproval/156","https://api-enni.alpina.ru/FilePrivilegesApproval/156")</f>
        <v>https://api-enni.alpina.ru/FilePrivilegesApproval/156</v>
      </c>
      <c r="Z72" s="13" t="s">
        <v>295</v>
      </c>
      <c r="AT72" s="1">
        <f t="shared" si="5"/>
        <v>0</v>
      </c>
      <c r="AU72" s="1">
        <f t="shared" si="6"/>
        <v>0</v>
      </c>
      <c r="AV72" s="1">
        <f t="shared" si="7"/>
        <v>0</v>
      </c>
      <c r="AW72" s="1">
        <f t="shared" si="8"/>
        <v>0</v>
      </c>
      <c r="AX72" s="1">
        <f t="shared" si="9"/>
        <v>0</v>
      </c>
    </row>
    <row r="73" spans="1:50" s="1" customFormat="1" ht="24.95" customHeight="1" outlineLevel="1" x14ac:dyDescent="0.2">
      <c r="A73" s="11"/>
      <c r="B73" s="15">
        <v>1690</v>
      </c>
      <c r="C73" s="15">
        <v>2190</v>
      </c>
      <c r="D73" s="12">
        <v>7806</v>
      </c>
      <c r="E73" s="13" t="s">
        <v>296</v>
      </c>
      <c r="F73" s="13" t="s">
        <v>297</v>
      </c>
      <c r="G73" s="13" t="s">
        <v>86</v>
      </c>
      <c r="H73" s="13"/>
      <c r="I73" s="12">
        <v>2025</v>
      </c>
      <c r="J73" s="13" t="s">
        <v>298</v>
      </c>
      <c r="K73" s="12">
        <v>9785916719185</v>
      </c>
      <c r="L73" s="13" t="s">
        <v>299</v>
      </c>
      <c r="M73" s="12">
        <v>455</v>
      </c>
      <c r="N73" s="14">
        <v>1.2</v>
      </c>
      <c r="O73" s="12">
        <v>200</v>
      </c>
      <c r="P73" s="12">
        <v>240</v>
      </c>
      <c r="Q73" s="12">
        <v>4</v>
      </c>
      <c r="R73" s="13" t="s">
        <v>300</v>
      </c>
      <c r="S73" s="13"/>
      <c r="T73" s="15">
        <v>2000</v>
      </c>
      <c r="U73" s="13" t="s">
        <v>52</v>
      </c>
      <c r="V73" s="13" t="s">
        <v>59</v>
      </c>
      <c r="W73" s="12">
        <v>10</v>
      </c>
      <c r="X73" s="33" t="str">
        <f>HYPERLINK("https://www.alpinabook.ru/catalog/book-bayki-iz-grota","ссылка на книгу")</f>
        <v>ссылка на книгу</v>
      </c>
      <c r="Y73" s="34" t="str">
        <f>HYPERLINK("https://api-enni.alpina.ru/FilePrivilegesApproval/149","https://api-enni.alpina.ru/FilePrivilegesApproval/149")</f>
        <v>https://api-enni.alpina.ru/FilePrivilegesApproval/149</v>
      </c>
      <c r="Z73" s="13" t="s">
        <v>77</v>
      </c>
      <c r="AT73" s="1">
        <f t="shared" si="5"/>
        <v>0</v>
      </c>
      <c r="AU73" s="1">
        <f t="shared" si="6"/>
        <v>0</v>
      </c>
      <c r="AV73" s="1">
        <f t="shared" si="7"/>
        <v>0</v>
      </c>
      <c r="AW73" s="1">
        <f t="shared" si="8"/>
        <v>0</v>
      </c>
      <c r="AX73" s="1">
        <f t="shared" si="9"/>
        <v>0</v>
      </c>
    </row>
    <row r="74" spans="1:50" s="1" customFormat="1" ht="24.95" customHeight="1" outlineLevel="1" x14ac:dyDescent="0.2">
      <c r="A74" s="11"/>
      <c r="B74" s="12">
        <v>440</v>
      </c>
      <c r="C74" s="12">
        <v>590</v>
      </c>
      <c r="D74" s="12">
        <v>25903</v>
      </c>
      <c r="E74" s="13" t="s">
        <v>161</v>
      </c>
      <c r="F74" s="13" t="s">
        <v>301</v>
      </c>
      <c r="G74" s="13" t="s">
        <v>163</v>
      </c>
      <c r="H74" s="13" t="s">
        <v>164</v>
      </c>
      <c r="I74" s="12">
        <v>2025</v>
      </c>
      <c r="J74" s="13" t="s">
        <v>302</v>
      </c>
      <c r="K74" s="12">
        <v>9785961484069</v>
      </c>
      <c r="L74" s="13" t="s">
        <v>303</v>
      </c>
      <c r="M74" s="12">
        <v>32</v>
      </c>
      <c r="N74" s="14">
        <v>0.25</v>
      </c>
      <c r="O74" s="12">
        <v>200</v>
      </c>
      <c r="P74" s="12">
        <v>200</v>
      </c>
      <c r="Q74" s="12">
        <v>15</v>
      </c>
      <c r="R74" s="13" t="s">
        <v>167</v>
      </c>
      <c r="S74" s="13" t="s">
        <v>168</v>
      </c>
      <c r="T74" s="15">
        <v>1500</v>
      </c>
      <c r="U74" s="13" t="s">
        <v>52</v>
      </c>
      <c r="V74" s="13" t="s">
        <v>64</v>
      </c>
      <c r="W74" s="12">
        <v>10</v>
      </c>
      <c r="X74" s="33" t="str">
        <f>HYPERLINK("https://www.alpinabook.ru/catalog/book-balerina","ссылка на книгу")</f>
        <v>ссылка на книгу</v>
      </c>
      <c r="Y74" s="34" t="str">
        <f>HYPERLINK("https://api-enni.alpina.ru/FileCertificateProject/45","https://api-enni.alpina.ru/FileCertificateProject/45")</f>
        <v>https://api-enni.alpina.ru/FileCertificateProject/45</v>
      </c>
      <c r="Z74" s="13" t="s">
        <v>132</v>
      </c>
      <c r="AT74" s="1">
        <f t="shared" si="5"/>
        <v>0</v>
      </c>
      <c r="AU74" s="1">
        <f t="shared" si="6"/>
        <v>0</v>
      </c>
      <c r="AV74" s="1">
        <f t="shared" si="7"/>
        <v>0</v>
      </c>
      <c r="AW74" s="1">
        <f t="shared" si="8"/>
        <v>0</v>
      </c>
      <c r="AX74" s="1">
        <f t="shared" si="9"/>
        <v>0</v>
      </c>
    </row>
    <row r="75" spans="1:50" s="1" customFormat="1" ht="24.95" customHeight="1" outlineLevel="1" x14ac:dyDescent="0.2">
      <c r="A75" s="11"/>
      <c r="B75" s="12">
        <v>340</v>
      </c>
      <c r="C75" s="12">
        <v>540</v>
      </c>
      <c r="D75" s="12">
        <v>28483</v>
      </c>
      <c r="E75" s="13" t="s">
        <v>304</v>
      </c>
      <c r="F75" s="13" t="s">
        <v>305</v>
      </c>
      <c r="G75" s="13" t="s">
        <v>56</v>
      </c>
      <c r="H75" s="13"/>
      <c r="I75" s="12">
        <v>2025</v>
      </c>
      <c r="J75" s="13" t="s">
        <v>306</v>
      </c>
      <c r="K75" s="12">
        <v>9785961489101</v>
      </c>
      <c r="L75" s="13" t="s">
        <v>307</v>
      </c>
      <c r="M75" s="12">
        <v>234</v>
      </c>
      <c r="N75" s="14">
        <v>0.16</v>
      </c>
      <c r="O75" s="12">
        <v>120</v>
      </c>
      <c r="P75" s="12">
        <v>170</v>
      </c>
      <c r="Q75" s="12">
        <v>20</v>
      </c>
      <c r="R75" s="13" t="s">
        <v>75</v>
      </c>
      <c r="S75" s="13" t="s">
        <v>160</v>
      </c>
      <c r="T75" s="15">
        <v>2500</v>
      </c>
      <c r="U75" s="13" t="s">
        <v>44</v>
      </c>
      <c r="V75" s="13" t="s">
        <v>64</v>
      </c>
      <c r="W75" s="12">
        <v>10</v>
      </c>
      <c r="X75" s="33" t="str">
        <f>HYPERLINK("https://www.alpinabook.ru/catalog/book-bez-vody","ссылка на книгу")</f>
        <v>ссылка на книгу</v>
      </c>
      <c r="Y75" s="34" t="str">
        <f>HYPERLINK("https://api-enni.alpina.ru/FilePrivilegesApproval/280","https://api-enni.alpina.ru/FilePrivilegesApproval/280")</f>
        <v>https://api-enni.alpina.ru/FilePrivilegesApproval/280</v>
      </c>
      <c r="Z75" s="13" t="s">
        <v>308</v>
      </c>
      <c r="AT75" s="1">
        <f t="shared" si="5"/>
        <v>0</v>
      </c>
      <c r="AU75" s="1">
        <f t="shared" si="6"/>
        <v>0</v>
      </c>
      <c r="AV75" s="1">
        <f t="shared" si="7"/>
        <v>0</v>
      </c>
      <c r="AW75" s="1">
        <f t="shared" si="8"/>
        <v>0</v>
      </c>
      <c r="AX75" s="1">
        <f t="shared" si="9"/>
        <v>0</v>
      </c>
    </row>
    <row r="76" spans="1:50" s="1" customFormat="1" ht="24.95" customHeight="1" outlineLevel="1" x14ac:dyDescent="0.2">
      <c r="A76" s="11"/>
      <c r="B76" s="12">
        <v>690</v>
      </c>
      <c r="C76" s="12">
        <v>990</v>
      </c>
      <c r="D76" s="12">
        <v>22767</v>
      </c>
      <c r="E76" s="13" t="s">
        <v>309</v>
      </c>
      <c r="F76" s="13" t="s">
        <v>310</v>
      </c>
      <c r="G76" s="13" t="s">
        <v>56</v>
      </c>
      <c r="H76" s="13" t="s">
        <v>40</v>
      </c>
      <c r="I76" s="12">
        <v>2025</v>
      </c>
      <c r="J76" s="13" t="s">
        <v>311</v>
      </c>
      <c r="K76" s="12">
        <v>9785961474985</v>
      </c>
      <c r="L76" s="13" t="s">
        <v>312</v>
      </c>
      <c r="M76" s="12">
        <v>216</v>
      </c>
      <c r="N76" s="14">
        <v>0.34</v>
      </c>
      <c r="O76" s="12">
        <v>150</v>
      </c>
      <c r="P76" s="12">
        <v>220</v>
      </c>
      <c r="Q76" s="12">
        <v>10</v>
      </c>
      <c r="R76" s="13" t="s">
        <v>43</v>
      </c>
      <c r="S76" s="13"/>
      <c r="T76" s="15">
        <v>1000</v>
      </c>
      <c r="U76" s="13" t="s">
        <v>52</v>
      </c>
      <c r="V76" s="13" t="s">
        <v>59</v>
      </c>
      <c r="W76" s="12">
        <v>10</v>
      </c>
      <c r="X76" s="33" t="str">
        <f>HYPERLINK("https://www.alpinabook.ru/catalog/book-biznes-na-paltsakh","ссылка на книгу")</f>
        <v>ссылка на книгу</v>
      </c>
      <c r="Y76" s="34" t="str">
        <f>HYPERLINK("https://api-enni.alpina.ru/FilePrivilegesApproval/124","https://api-enni.alpina.ru/FilePrivilegesApproval/124")</f>
        <v>https://api-enni.alpina.ru/FilePrivilegesApproval/124</v>
      </c>
      <c r="Z76" s="13" t="s">
        <v>118</v>
      </c>
      <c r="AT76" s="1">
        <f t="shared" si="5"/>
        <v>0</v>
      </c>
      <c r="AU76" s="1">
        <f t="shared" si="6"/>
        <v>0</v>
      </c>
      <c r="AV76" s="1">
        <f t="shared" si="7"/>
        <v>0</v>
      </c>
      <c r="AW76" s="1">
        <f t="shared" si="8"/>
        <v>0</v>
      </c>
      <c r="AX76" s="1">
        <f t="shared" si="9"/>
        <v>0</v>
      </c>
    </row>
    <row r="77" spans="1:50" s="1" customFormat="1" ht="24.95" customHeight="1" outlineLevel="1" x14ac:dyDescent="0.2">
      <c r="A77" s="11"/>
      <c r="B77" s="12">
        <v>890</v>
      </c>
      <c r="C77" s="15">
        <v>1290</v>
      </c>
      <c r="D77" s="12">
        <v>5462</v>
      </c>
      <c r="E77" s="13" t="s">
        <v>313</v>
      </c>
      <c r="F77" s="13" t="s">
        <v>314</v>
      </c>
      <c r="G77" s="13" t="s">
        <v>56</v>
      </c>
      <c r="H77" s="13" t="s">
        <v>40</v>
      </c>
      <c r="I77" s="12">
        <v>2025</v>
      </c>
      <c r="J77" s="13" t="s">
        <v>315</v>
      </c>
      <c r="K77" s="12">
        <v>9785961468373</v>
      </c>
      <c r="L77" s="13" t="s">
        <v>316</v>
      </c>
      <c r="M77" s="12">
        <v>256</v>
      </c>
      <c r="N77" s="14">
        <v>0.52</v>
      </c>
      <c r="O77" s="12">
        <v>170</v>
      </c>
      <c r="P77" s="12">
        <v>240</v>
      </c>
      <c r="Q77" s="12">
        <v>8</v>
      </c>
      <c r="R77" s="13" t="s">
        <v>94</v>
      </c>
      <c r="S77" s="13"/>
      <c r="T77" s="15">
        <v>3000</v>
      </c>
      <c r="U77" s="13" t="s">
        <v>52</v>
      </c>
      <c r="V77" s="13" t="s">
        <v>64</v>
      </c>
      <c r="W77" s="12">
        <v>10</v>
      </c>
      <c r="X77" s="33" t="str">
        <f>HYPERLINK("https://www.alpinabook.ru/catalog/book-biznes-s-nulya","ссылка на книгу")</f>
        <v>ссылка на книгу</v>
      </c>
      <c r="Y77" s="34" t="str">
        <f>HYPERLINK("https://api-enni.alpina.ru/FilePrivilegesApproval/156","https://api-enni.alpina.ru/FilePrivilegesApproval/156")</f>
        <v>https://api-enni.alpina.ru/FilePrivilegesApproval/156</v>
      </c>
      <c r="Z77" s="13" t="s">
        <v>70</v>
      </c>
      <c r="AT77" s="1">
        <f t="shared" si="5"/>
        <v>0</v>
      </c>
      <c r="AU77" s="1">
        <f t="shared" si="6"/>
        <v>0</v>
      </c>
      <c r="AV77" s="1">
        <f t="shared" si="7"/>
        <v>0</v>
      </c>
      <c r="AW77" s="1">
        <f t="shared" si="8"/>
        <v>0</v>
      </c>
      <c r="AX77" s="1">
        <f t="shared" si="9"/>
        <v>0</v>
      </c>
    </row>
    <row r="78" spans="1:50" s="1" customFormat="1" ht="24.95" customHeight="1" outlineLevel="1" x14ac:dyDescent="0.2">
      <c r="A78" s="11"/>
      <c r="B78" s="15">
        <v>1290</v>
      </c>
      <c r="C78" s="15">
        <v>1790</v>
      </c>
      <c r="D78" s="12">
        <v>7091</v>
      </c>
      <c r="E78" s="13" t="s">
        <v>317</v>
      </c>
      <c r="F78" s="13" t="s">
        <v>318</v>
      </c>
      <c r="G78" s="13" t="s">
        <v>86</v>
      </c>
      <c r="H78" s="13" t="s">
        <v>40</v>
      </c>
      <c r="I78" s="12">
        <v>2025</v>
      </c>
      <c r="J78" s="13" t="s">
        <v>319</v>
      </c>
      <c r="K78" s="12">
        <v>9785001390398</v>
      </c>
      <c r="L78" s="13" t="s">
        <v>320</v>
      </c>
      <c r="M78" s="12">
        <v>766</v>
      </c>
      <c r="N78" s="14">
        <v>1.1000000000000001</v>
      </c>
      <c r="O78" s="12">
        <v>176</v>
      </c>
      <c r="P78" s="12">
        <v>243</v>
      </c>
      <c r="Q78" s="12">
        <v>4</v>
      </c>
      <c r="R78" s="13" t="s">
        <v>94</v>
      </c>
      <c r="S78" s="13"/>
      <c r="T78" s="15">
        <v>10000</v>
      </c>
      <c r="U78" s="13" t="s">
        <v>52</v>
      </c>
      <c r="V78" s="13" t="s">
        <v>45</v>
      </c>
      <c r="W78" s="12">
        <v>10</v>
      </c>
      <c r="X78" s="33" t="str">
        <f>HYPERLINK("https://www.alpinabook.ru/catalog/book-biologiya-dobra-i-zla","ссылка на книгу")</f>
        <v>ссылка на книгу</v>
      </c>
      <c r="Y78" s="34" t="str">
        <f>HYPERLINK("https://api-enni.alpina.ru/FilePrivilegesApproval/131","https://api-enni.alpina.ru/FilePrivilegesApproval/131")</f>
        <v>https://api-enni.alpina.ru/FilePrivilegesApproval/131</v>
      </c>
      <c r="Z78" s="13" t="s">
        <v>321</v>
      </c>
      <c r="AT78" s="1">
        <f t="shared" si="5"/>
        <v>0</v>
      </c>
      <c r="AU78" s="1">
        <f t="shared" si="6"/>
        <v>0</v>
      </c>
      <c r="AV78" s="1">
        <f t="shared" si="7"/>
        <v>0</v>
      </c>
      <c r="AW78" s="1">
        <f t="shared" si="8"/>
        <v>0</v>
      </c>
      <c r="AX78" s="1">
        <f t="shared" si="9"/>
        <v>0</v>
      </c>
    </row>
    <row r="79" spans="1:50" s="1" customFormat="1" ht="24.95" customHeight="1" outlineLevel="1" x14ac:dyDescent="0.2">
      <c r="A79" s="11"/>
      <c r="B79" s="12">
        <v>290</v>
      </c>
      <c r="C79" s="12">
        <v>440</v>
      </c>
      <c r="D79" s="12">
        <v>12728</v>
      </c>
      <c r="E79" s="13" t="s">
        <v>322</v>
      </c>
      <c r="F79" s="13" t="s">
        <v>323</v>
      </c>
      <c r="G79" s="13" t="s">
        <v>56</v>
      </c>
      <c r="H79" s="13" t="s">
        <v>40</v>
      </c>
      <c r="I79" s="12">
        <v>2024</v>
      </c>
      <c r="J79" s="13" t="s">
        <v>324</v>
      </c>
      <c r="K79" s="12">
        <v>9785961426823</v>
      </c>
      <c r="L79" s="13" t="s">
        <v>325</v>
      </c>
      <c r="M79" s="12">
        <v>288</v>
      </c>
      <c r="N79" s="14">
        <v>0.19</v>
      </c>
      <c r="O79" s="12">
        <v>115</v>
      </c>
      <c r="P79" s="12">
        <v>165</v>
      </c>
      <c r="Q79" s="12">
        <v>10</v>
      </c>
      <c r="R79" s="13" t="s">
        <v>75</v>
      </c>
      <c r="S79" s="13" t="s">
        <v>253</v>
      </c>
      <c r="T79" s="15">
        <v>15000</v>
      </c>
      <c r="U79" s="13" t="s">
        <v>44</v>
      </c>
      <c r="V79" s="13" t="s">
        <v>64</v>
      </c>
      <c r="W79" s="12">
        <v>10</v>
      </c>
      <c r="X79" s="33" t="str">
        <f>HYPERLINK("https://www.alpinabook.ru/catalog/book-boysya-no-deystvuy","ссылка на книгу")</f>
        <v>ссылка на книгу</v>
      </c>
      <c r="Y79" s="34" t="str">
        <f>HYPERLINK("https://api-enni.alpina.ru/FilePrivilegesApproval/128","https://api-enni.alpina.ru/FilePrivilegesApproval/128")</f>
        <v>https://api-enni.alpina.ru/FilePrivilegesApproval/128</v>
      </c>
      <c r="Z79" s="13"/>
      <c r="AT79" s="1">
        <f t="shared" si="5"/>
        <v>0</v>
      </c>
      <c r="AU79" s="1">
        <f t="shared" si="6"/>
        <v>0</v>
      </c>
      <c r="AV79" s="1">
        <f t="shared" si="7"/>
        <v>0</v>
      </c>
      <c r="AW79" s="1">
        <f t="shared" si="8"/>
        <v>0</v>
      </c>
      <c r="AX79" s="1">
        <f t="shared" si="9"/>
        <v>0</v>
      </c>
    </row>
    <row r="80" spans="1:50" s="1" customFormat="1" ht="24.95" customHeight="1" outlineLevel="1" x14ac:dyDescent="0.2">
      <c r="A80" s="11"/>
      <c r="B80" s="12">
        <v>590</v>
      </c>
      <c r="C80" s="12">
        <v>840</v>
      </c>
      <c r="D80" s="12">
        <v>7727</v>
      </c>
      <c r="E80" s="13" t="s">
        <v>326</v>
      </c>
      <c r="F80" s="13" t="s">
        <v>327</v>
      </c>
      <c r="G80" s="13" t="s">
        <v>56</v>
      </c>
      <c r="H80" s="13"/>
      <c r="I80" s="12">
        <v>2025</v>
      </c>
      <c r="J80" s="13" t="s">
        <v>328</v>
      </c>
      <c r="K80" s="12">
        <v>9785961465617</v>
      </c>
      <c r="L80" s="13" t="s">
        <v>329</v>
      </c>
      <c r="M80" s="12">
        <v>280</v>
      </c>
      <c r="N80" s="14">
        <v>0.34</v>
      </c>
      <c r="O80" s="12">
        <v>141</v>
      </c>
      <c r="P80" s="12">
        <v>210</v>
      </c>
      <c r="Q80" s="12">
        <v>8</v>
      </c>
      <c r="R80" s="13" t="s">
        <v>43</v>
      </c>
      <c r="S80" s="13"/>
      <c r="T80" s="15">
        <v>1000</v>
      </c>
      <c r="U80" s="13" t="s">
        <v>44</v>
      </c>
      <c r="V80" s="13" t="s">
        <v>64</v>
      </c>
      <c r="W80" s="12">
        <v>10</v>
      </c>
      <c r="X80" s="33" t="str">
        <f>HYPERLINK("https://www.alpinabook.ru/catalog/book-bolshie-prodazhi-bez-kompromissov-i-opravdaniy","ссылка на книгу")</f>
        <v>ссылка на книгу</v>
      </c>
      <c r="Y80" s="34" t="str">
        <f>HYPERLINK("https://api-enni.alpina.ru/FilePrivilegesApproval/2","https://api-enni.alpina.ru/FilePrivilegesApproval/2")</f>
        <v>https://api-enni.alpina.ru/FilePrivilegesApproval/2</v>
      </c>
      <c r="Z80" s="13" t="s">
        <v>118</v>
      </c>
      <c r="AT80" s="1">
        <f t="shared" si="5"/>
        <v>0</v>
      </c>
      <c r="AU80" s="1">
        <f t="shared" si="6"/>
        <v>0</v>
      </c>
      <c r="AV80" s="1">
        <f t="shared" si="7"/>
        <v>0</v>
      </c>
      <c r="AW80" s="1">
        <f t="shared" si="8"/>
        <v>0</v>
      </c>
      <c r="AX80" s="1">
        <f t="shared" si="9"/>
        <v>0</v>
      </c>
    </row>
    <row r="81" spans="1:50" s="1" customFormat="1" ht="24.95" customHeight="1" outlineLevel="1" x14ac:dyDescent="0.2">
      <c r="A81" s="11"/>
      <c r="B81" s="12">
        <v>540</v>
      </c>
      <c r="C81" s="12">
        <v>790</v>
      </c>
      <c r="D81" s="12">
        <v>28270</v>
      </c>
      <c r="E81" s="13" t="s">
        <v>330</v>
      </c>
      <c r="F81" s="13" t="s">
        <v>331</v>
      </c>
      <c r="G81" s="13" t="s">
        <v>56</v>
      </c>
      <c r="H81" s="13" t="s">
        <v>40</v>
      </c>
      <c r="I81" s="12">
        <v>2025</v>
      </c>
      <c r="J81" s="13" t="s">
        <v>332</v>
      </c>
      <c r="K81" s="12">
        <v>9785961487633</v>
      </c>
      <c r="L81" s="13" t="s">
        <v>333</v>
      </c>
      <c r="M81" s="12">
        <v>232</v>
      </c>
      <c r="N81" s="14">
        <v>0.53</v>
      </c>
      <c r="O81" s="12">
        <v>150</v>
      </c>
      <c r="P81" s="12">
        <v>220</v>
      </c>
      <c r="Q81" s="12">
        <v>12</v>
      </c>
      <c r="R81" s="13" t="s">
        <v>43</v>
      </c>
      <c r="S81" s="13"/>
      <c r="T81" s="15">
        <v>7000</v>
      </c>
      <c r="U81" s="13" t="s">
        <v>52</v>
      </c>
      <c r="V81" s="13" t="s">
        <v>45</v>
      </c>
      <c r="W81" s="12">
        <v>10</v>
      </c>
      <c r="X81" s="33" t="str">
        <f>HYPERLINK("https://www.alpinabook.ru/catalog/book-bud-nuzhnym","ссылка на книгу")</f>
        <v>ссылка на книгу</v>
      </c>
      <c r="Y81" s="34" t="str">
        <f>HYPERLINK("https://api-enni.alpina.ru/FilePrivilegesApproval/315","https://api-enni.alpina.ru/FilePrivilegesApproval/315")</f>
        <v>https://api-enni.alpina.ru/FilePrivilegesApproval/315</v>
      </c>
      <c r="Z81" s="13" t="s">
        <v>334</v>
      </c>
      <c r="AT81" s="1">
        <f t="shared" si="5"/>
        <v>0</v>
      </c>
      <c r="AU81" s="1">
        <f t="shared" si="6"/>
        <v>0</v>
      </c>
      <c r="AV81" s="1">
        <f t="shared" si="7"/>
        <v>0</v>
      </c>
      <c r="AW81" s="1">
        <f t="shared" si="8"/>
        <v>0</v>
      </c>
      <c r="AX81" s="1">
        <f t="shared" si="9"/>
        <v>0</v>
      </c>
    </row>
    <row r="82" spans="1:50" s="1" customFormat="1" ht="24.95" customHeight="1" outlineLevel="1" x14ac:dyDescent="0.2">
      <c r="A82" s="11"/>
      <c r="B82" s="12">
        <v>640</v>
      </c>
      <c r="C82" s="12">
        <v>940</v>
      </c>
      <c r="D82" s="12">
        <v>27229</v>
      </c>
      <c r="E82" s="13" t="s">
        <v>335</v>
      </c>
      <c r="F82" s="13" t="s">
        <v>336</v>
      </c>
      <c r="G82" s="13" t="s">
        <v>56</v>
      </c>
      <c r="H82" s="13" t="s">
        <v>40</v>
      </c>
      <c r="I82" s="12">
        <v>2025</v>
      </c>
      <c r="J82" s="13" t="s">
        <v>337</v>
      </c>
      <c r="K82" s="12">
        <v>9785961484205</v>
      </c>
      <c r="L82" s="13" t="s">
        <v>338</v>
      </c>
      <c r="M82" s="12">
        <v>224</v>
      </c>
      <c r="N82" s="14">
        <v>0.35</v>
      </c>
      <c r="O82" s="12">
        <v>140</v>
      </c>
      <c r="P82" s="12">
        <v>210</v>
      </c>
      <c r="Q82" s="12">
        <v>10</v>
      </c>
      <c r="R82" s="13" t="s">
        <v>43</v>
      </c>
      <c r="S82" s="13"/>
      <c r="T82" s="15">
        <v>1000</v>
      </c>
      <c r="U82" s="13" t="s">
        <v>44</v>
      </c>
      <c r="V82" s="13" t="s">
        <v>59</v>
      </c>
      <c r="W82" s="12">
        <v>10</v>
      </c>
      <c r="X82" s="33" t="str">
        <f>HYPERLINK("https://www.alpinabook.ru/catalog/book-byt-gotovym-ko-vsemu","ссылка на книгу")</f>
        <v>ссылка на книгу</v>
      </c>
      <c r="Y82" s="34" t="str">
        <f>HYPERLINK("https://api-enni.alpina.ru/FilePrivilegesApproval/313","https://api-enni.alpina.ru/FilePrivilegesApproval/313")</f>
        <v>https://api-enni.alpina.ru/FilePrivilegesApproval/313</v>
      </c>
      <c r="Z82" s="13" t="s">
        <v>77</v>
      </c>
      <c r="AT82" s="1">
        <f t="shared" si="5"/>
        <v>0</v>
      </c>
      <c r="AU82" s="1">
        <f t="shared" si="6"/>
        <v>0</v>
      </c>
      <c r="AV82" s="1">
        <f t="shared" si="7"/>
        <v>0</v>
      </c>
      <c r="AW82" s="1">
        <f t="shared" si="8"/>
        <v>0</v>
      </c>
      <c r="AX82" s="1">
        <f t="shared" si="9"/>
        <v>0</v>
      </c>
    </row>
    <row r="83" spans="1:50" s="1" customFormat="1" ht="24.95" customHeight="1" outlineLevel="1" x14ac:dyDescent="0.2">
      <c r="A83" s="11"/>
      <c r="B83" s="12">
        <v>790</v>
      </c>
      <c r="C83" s="15">
        <v>1190</v>
      </c>
      <c r="D83" s="12">
        <v>31945</v>
      </c>
      <c r="E83" s="13" t="s">
        <v>339</v>
      </c>
      <c r="F83" s="13" t="s">
        <v>340</v>
      </c>
      <c r="G83" s="13" t="s">
        <v>39</v>
      </c>
      <c r="H83" s="13"/>
      <c r="I83" s="12">
        <v>2025</v>
      </c>
      <c r="J83" s="13" t="s">
        <v>341</v>
      </c>
      <c r="K83" s="12">
        <v>9785002234530</v>
      </c>
      <c r="L83" s="13" t="s">
        <v>342</v>
      </c>
      <c r="M83" s="12">
        <v>536</v>
      </c>
      <c r="N83" s="14">
        <v>0.6</v>
      </c>
      <c r="O83" s="12">
        <v>150</v>
      </c>
      <c r="P83" s="12">
        <v>220</v>
      </c>
      <c r="Q83" s="12">
        <v>4</v>
      </c>
      <c r="R83" s="13" t="s">
        <v>43</v>
      </c>
      <c r="S83" s="13"/>
      <c r="T83" s="15">
        <v>20000</v>
      </c>
      <c r="U83" s="13" t="s">
        <v>52</v>
      </c>
      <c r="V83" s="13" t="s">
        <v>89</v>
      </c>
      <c r="W83" s="12">
        <v>20</v>
      </c>
      <c r="X83" s="33" t="str">
        <f>HYPERLINK("https://www.alpinabook.ru/catalog/book-vegetatsiya","ссылка на книгу")</f>
        <v>ссылка на книгу</v>
      </c>
      <c r="Y83" s="34" t="str">
        <f>HYPERLINK("https://api-enni.alpina.ru/FilePrivilegesApproval/802","https://api-enni.alpina.ru/FilePrivilegesApproval/802")</f>
        <v>https://api-enni.alpina.ru/FilePrivilegesApproval/802</v>
      </c>
      <c r="Z83" s="13" t="s">
        <v>343</v>
      </c>
      <c r="AT83" s="1">
        <f t="shared" si="5"/>
        <v>0</v>
      </c>
      <c r="AU83" s="1">
        <f t="shared" si="6"/>
        <v>0</v>
      </c>
      <c r="AV83" s="1">
        <f t="shared" si="7"/>
        <v>0</v>
      </c>
      <c r="AW83" s="1">
        <f t="shared" si="8"/>
        <v>0</v>
      </c>
      <c r="AX83" s="1">
        <f t="shared" si="9"/>
        <v>0</v>
      </c>
    </row>
    <row r="84" spans="1:50" s="1" customFormat="1" ht="24.95" customHeight="1" outlineLevel="1" x14ac:dyDescent="0.2">
      <c r="A84" s="11"/>
      <c r="B84" s="12">
        <v>440</v>
      </c>
      <c r="C84" s="12">
        <v>590</v>
      </c>
      <c r="D84" s="12">
        <v>22556</v>
      </c>
      <c r="E84" s="13" t="s">
        <v>161</v>
      </c>
      <c r="F84" s="13" t="s">
        <v>344</v>
      </c>
      <c r="G84" s="13" t="s">
        <v>163</v>
      </c>
      <c r="H84" s="13" t="s">
        <v>164</v>
      </c>
      <c r="I84" s="12">
        <v>2025</v>
      </c>
      <c r="J84" s="13" t="s">
        <v>345</v>
      </c>
      <c r="K84" s="12">
        <v>9785961455519</v>
      </c>
      <c r="L84" s="13" t="s">
        <v>346</v>
      </c>
      <c r="M84" s="12">
        <v>32</v>
      </c>
      <c r="N84" s="14">
        <v>0.23</v>
      </c>
      <c r="O84" s="12">
        <v>198</v>
      </c>
      <c r="P84" s="12">
        <v>199</v>
      </c>
      <c r="Q84" s="12">
        <v>15</v>
      </c>
      <c r="R84" s="13" t="s">
        <v>167</v>
      </c>
      <c r="S84" s="13" t="s">
        <v>168</v>
      </c>
      <c r="T84" s="15">
        <v>1500</v>
      </c>
      <c r="U84" s="13" t="s">
        <v>52</v>
      </c>
      <c r="V84" s="13" t="s">
        <v>64</v>
      </c>
      <c r="W84" s="12">
        <v>10</v>
      </c>
      <c r="X84" s="33" t="str">
        <f>HYPERLINK("https://www.alpinabook.ru/catalog/book-veterinar","ссылка на книгу")</f>
        <v>ссылка на книгу</v>
      </c>
      <c r="Y84" s="34" t="str">
        <f>HYPERLINK("https://api-enni.alpina.ru/FileCertificateProject/653","https://api-enni.alpina.ru/FileCertificateProject/653")</f>
        <v>https://api-enni.alpina.ru/FileCertificateProject/653</v>
      </c>
      <c r="Z84" s="13" t="s">
        <v>132</v>
      </c>
      <c r="AT84" s="1">
        <f t="shared" si="5"/>
        <v>0</v>
      </c>
      <c r="AU84" s="1">
        <f t="shared" si="6"/>
        <v>0</v>
      </c>
      <c r="AV84" s="1">
        <f t="shared" si="7"/>
        <v>0</v>
      </c>
      <c r="AW84" s="1">
        <f t="shared" si="8"/>
        <v>0</v>
      </c>
      <c r="AX84" s="1">
        <f t="shared" si="9"/>
        <v>0</v>
      </c>
    </row>
    <row r="85" spans="1:50" s="1" customFormat="1" ht="24.95" customHeight="1" outlineLevel="1" x14ac:dyDescent="0.2">
      <c r="A85" s="11"/>
      <c r="B85" s="12">
        <v>340</v>
      </c>
      <c r="C85" s="12">
        <v>540</v>
      </c>
      <c r="D85" s="12">
        <v>27421</v>
      </c>
      <c r="E85" s="13" t="s">
        <v>347</v>
      </c>
      <c r="F85" s="13" t="s">
        <v>348</v>
      </c>
      <c r="G85" s="13" t="s">
        <v>56</v>
      </c>
      <c r="H85" s="13" t="s">
        <v>40</v>
      </c>
      <c r="I85" s="12">
        <v>2025</v>
      </c>
      <c r="J85" s="13" t="s">
        <v>349</v>
      </c>
      <c r="K85" s="12">
        <v>9785961485264</v>
      </c>
      <c r="L85" s="13" t="s">
        <v>350</v>
      </c>
      <c r="M85" s="12">
        <v>364</v>
      </c>
      <c r="N85" s="14">
        <v>0.28000000000000003</v>
      </c>
      <c r="O85" s="12">
        <v>120</v>
      </c>
      <c r="P85" s="12">
        <v>170</v>
      </c>
      <c r="Q85" s="12">
        <v>28</v>
      </c>
      <c r="R85" s="13" t="s">
        <v>75</v>
      </c>
      <c r="S85" s="13" t="s">
        <v>76</v>
      </c>
      <c r="T85" s="15">
        <v>3000</v>
      </c>
      <c r="U85" s="13" t="s">
        <v>44</v>
      </c>
      <c r="V85" s="13" t="s">
        <v>59</v>
      </c>
      <c r="W85" s="12">
        <v>10</v>
      </c>
      <c r="X85" s="33" t="str">
        <f>HYPERLINK("https://www.alpinabook.ru/catalog/book-vzlom-psikhologii","ссылка на книгу")</f>
        <v>ссылка на книгу</v>
      </c>
      <c r="Y85" s="34" t="str">
        <f>HYPERLINK("https://api-enni.alpina.ru/FilePrivilegesApproval/202","https://api-enni.alpina.ru/FilePrivilegesApproval/202")</f>
        <v>https://api-enni.alpina.ru/FilePrivilegesApproval/202</v>
      </c>
      <c r="Z85" s="13" t="s">
        <v>46</v>
      </c>
      <c r="AT85" s="1">
        <f t="shared" si="5"/>
        <v>0</v>
      </c>
      <c r="AU85" s="1">
        <f t="shared" si="6"/>
        <v>0</v>
      </c>
      <c r="AV85" s="1">
        <f t="shared" si="7"/>
        <v>0</v>
      </c>
      <c r="AW85" s="1">
        <f t="shared" si="8"/>
        <v>0</v>
      </c>
      <c r="AX85" s="1">
        <f t="shared" si="9"/>
        <v>0</v>
      </c>
    </row>
    <row r="86" spans="1:50" s="1" customFormat="1" ht="24.95" customHeight="1" outlineLevel="1" x14ac:dyDescent="0.2">
      <c r="A86" s="11"/>
      <c r="B86" s="12">
        <v>590</v>
      </c>
      <c r="C86" s="12">
        <v>890</v>
      </c>
      <c r="D86" s="12">
        <v>19306</v>
      </c>
      <c r="E86" s="13" t="s">
        <v>351</v>
      </c>
      <c r="F86" s="13" t="s">
        <v>352</v>
      </c>
      <c r="G86" s="13" t="s">
        <v>86</v>
      </c>
      <c r="H86" s="13"/>
      <c r="I86" s="12">
        <v>2025</v>
      </c>
      <c r="J86" s="13" t="s">
        <v>353</v>
      </c>
      <c r="K86" s="12">
        <v>9785001393825</v>
      </c>
      <c r="L86" s="13" t="s">
        <v>354</v>
      </c>
      <c r="M86" s="12">
        <v>404</v>
      </c>
      <c r="N86" s="14">
        <v>0.54</v>
      </c>
      <c r="O86" s="12">
        <v>153</v>
      </c>
      <c r="P86" s="12">
        <v>216</v>
      </c>
      <c r="Q86" s="12">
        <v>5</v>
      </c>
      <c r="R86" s="13" t="s">
        <v>43</v>
      </c>
      <c r="S86" s="13"/>
      <c r="T86" s="15">
        <v>1000</v>
      </c>
      <c r="U86" s="13" t="s">
        <v>52</v>
      </c>
      <c r="V86" s="13" t="s">
        <v>64</v>
      </c>
      <c r="W86" s="12">
        <v>10</v>
      </c>
      <c r="X86" s="33" t="str">
        <f>HYPERLINK("","ссылка на книгу")</f>
        <v>ссылка на книгу</v>
      </c>
      <c r="Y86" s="34" t="str">
        <f>HYPERLINK("https://api-enni.alpina.ru/FilePrivilegesApproval/131","https://api-enni.alpina.ru/FilePrivilegesApproval/131")</f>
        <v>https://api-enni.alpina.ru/FilePrivilegesApproval/131</v>
      </c>
      <c r="Z86" s="13" t="s">
        <v>101</v>
      </c>
      <c r="AT86" s="1">
        <f t="shared" si="5"/>
        <v>0</v>
      </c>
      <c r="AU86" s="1">
        <f t="shared" si="6"/>
        <v>0</v>
      </c>
      <c r="AV86" s="1">
        <f t="shared" si="7"/>
        <v>0</v>
      </c>
      <c r="AW86" s="1">
        <f t="shared" si="8"/>
        <v>0</v>
      </c>
      <c r="AX86" s="1">
        <f t="shared" si="9"/>
        <v>0</v>
      </c>
    </row>
    <row r="87" spans="1:50" s="1" customFormat="1" ht="24.95" customHeight="1" outlineLevel="1" x14ac:dyDescent="0.2">
      <c r="A87" s="11"/>
      <c r="B87" s="12">
        <v>590</v>
      </c>
      <c r="C87" s="12">
        <v>840</v>
      </c>
      <c r="D87" s="12">
        <v>5619</v>
      </c>
      <c r="E87" s="13" t="s">
        <v>355</v>
      </c>
      <c r="F87" s="13" t="s">
        <v>356</v>
      </c>
      <c r="G87" s="13" t="s">
        <v>56</v>
      </c>
      <c r="H87" s="13" t="s">
        <v>40</v>
      </c>
      <c r="I87" s="12">
        <v>2025</v>
      </c>
      <c r="J87" s="13" t="s">
        <v>357</v>
      </c>
      <c r="K87" s="12">
        <v>9785961469028</v>
      </c>
      <c r="L87" s="13" t="s">
        <v>358</v>
      </c>
      <c r="M87" s="12">
        <v>348</v>
      </c>
      <c r="N87" s="14">
        <v>0.51</v>
      </c>
      <c r="O87" s="12">
        <v>146</v>
      </c>
      <c r="P87" s="12">
        <v>216</v>
      </c>
      <c r="Q87" s="12">
        <v>12</v>
      </c>
      <c r="R87" s="13" t="s">
        <v>43</v>
      </c>
      <c r="S87" s="13"/>
      <c r="T87" s="15">
        <v>3000</v>
      </c>
      <c r="U87" s="13" t="s">
        <v>52</v>
      </c>
      <c r="V87" s="13" t="s">
        <v>64</v>
      </c>
      <c r="W87" s="12">
        <v>10</v>
      </c>
      <c r="X87" s="33" t="str">
        <f>HYPERLINK("https://www.alpinabook.ru/catalog/book-vkus","ссылка на книгу")</f>
        <v>ссылка на книгу</v>
      </c>
      <c r="Y87" s="34" t="str">
        <f>HYPERLINK("https://api-enni.alpina.ru/FilePrivilegesApproval/2","https://api-enni.alpina.ru/FilePrivilegesApproval/2")</f>
        <v>https://api-enni.alpina.ru/FilePrivilegesApproval/2</v>
      </c>
      <c r="Z87" s="13" t="s">
        <v>77</v>
      </c>
      <c r="AT87" s="1">
        <f t="shared" si="5"/>
        <v>0</v>
      </c>
      <c r="AU87" s="1">
        <f t="shared" si="6"/>
        <v>0</v>
      </c>
      <c r="AV87" s="1">
        <f t="shared" si="7"/>
        <v>0</v>
      </c>
      <c r="AW87" s="1">
        <f t="shared" si="8"/>
        <v>0</v>
      </c>
      <c r="AX87" s="1">
        <f t="shared" si="9"/>
        <v>0</v>
      </c>
    </row>
    <row r="88" spans="1:50" s="1" customFormat="1" ht="24.95" customHeight="1" outlineLevel="1" x14ac:dyDescent="0.2">
      <c r="A88" s="11"/>
      <c r="B88" s="12">
        <v>990</v>
      </c>
      <c r="C88" s="15">
        <v>1490</v>
      </c>
      <c r="D88" s="12">
        <v>4573</v>
      </c>
      <c r="E88" s="13" t="s">
        <v>359</v>
      </c>
      <c r="F88" s="13" t="s">
        <v>360</v>
      </c>
      <c r="G88" s="13" t="s">
        <v>56</v>
      </c>
      <c r="H88" s="13" t="s">
        <v>40</v>
      </c>
      <c r="I88" s="12">
        <v>2025</v>
      </c>
      <c r="J88" s="13" t="s">
        <v>361</v>
      </c>
      <c r="K88" s="12">
        <v>9785961468502</v>
      </c>
      <c r="L88" s="13" t="s">
        <v>362</v>
      </c>
      <c r="M88" s="12">
        <v>352</v>
      </c>
      <c r="N88" s="14">
        <v>0.7</v>
      </c>
      <c r="O88" s="12">
        <v>170</v>
      </c>
      <c r="P88" s="12">
        <v>240</v>
      </c>
      <c r="Q88" s="12">
        <v>5</v>
      </c>
      <c r="R88" s="13" t="s">
        <v>94</v>
      </c>
      <c r="S88" s="13"/>
      <c r="T88" s="15">
        <v>1000</v>
      </c>
      <c r="U88" s="13" t="s">
        <v>52</v>
      </c>
      <c r="V88" s="13" t="s">
        <v>64</v>
      </c>
      <c r="W88" s="12">
        <v>10</v>
      </c>
      <c r="X88" s="33" t="str">
        <f>HYPERLINK("https://www.alpinabook.ru/catalog/book-vovremya-i-v-ramkakh-byudzheta","ссылка на книгу")</f>
        <v>ссылка на книгу</v>
      </c>
      <c r="Y88" s="34" t="str">
        <f>HYPERLINK("https://api-enni.alpina.ru/FilePrivilegesApproval/2","https://api-enni.alpina.ru/FilePrivilegesApproval/2")</f>
        <v>https://api-enni.alpina.ru/FilePrivilegesApproval/2</v>
      </c>
      <c r="Z88" s="13" t="s">
        <v>118</v>
      </c>
      <c r="AT88" s="1">
        <f t="shared" si="5"/>
        <v>0</v>
      </c>
      <c r="AU88" s="1">
        <f t="shared" si="6"/>
        <v>0</v>
      </c>
      <c r="AV88" s="1">
        <f t="shared" si="7"/>
        <v>0</v>
      </c>
      <c r="AW88" s="1">
        <f t="shared" si="8"/>
        <v>0</v>
      </c>
      <c r="AX88" s="1">
        <f t="shared" si="9"/>
        <v>0</v>
      </c>
    </row>
    <row r="89" spans="1:50" s="1" customFormat="1" ht="24.95" customHeight="1" outlineLevel="1" x14ac:dyDescent="0.2">
      <c r="A89" s="11"/>
      <c r="B89" s="12">
        <v>890</v>
      </c>
      <c r="C89" s="15">
        <v>1290</v>
      </c>
      <c r="D89" s="12">
        <v>24221</v>
      </c>
      <c r="E89" s="13" t="s">
        <v>363</v>
      </c>
      <c r="F89" s="13" t="s">
        <v>364</v>
      </c>
      <c r="G89" s="13" t="s">
        <v>56</v>
      </c>
      <c r="H89" s="13" t="s">
        <v>40</v>
      </c>
      <c r="I89" s="12">
        <v>2025</v>
      </c>
      <c r="J89" s="13" t="s">
        <v>365</v>
      </c>
      <c r="K89" s="12">
        <v>9785961480306</v>
      </c>
      <c r="L89" s="13" t="s">
        <v>366</v>
      </c>
      <c r="M89" s="12">
        <v>196</v>
      </c>
      <c r="N89" s="14">
        <v>0.34</v>
      </c>
      <c r="O89" s="12">
        <v>150</v>
      </c>
      <c r="P89" s="12">
        <v>220</v>
      </c>
      <c r="Q89" s="12">
        <v>18</v>
      </c>
      <c r="R89" s="13" t="s">
        <v>43</v>
      </c>
      <c r="S89" s="13"/>
      <c r="T89" s="15">
        <v>2000</v>
      </c>
      <c r="U89" s="13" t="s">
        <v>52</v>
      </c>
      <c r="V89" s="13" t="s">
        <v>64</v>
      </c>
      <c r="W89" s="12">
        <v>10</v>
      </c>
      <c r="X89" s="33" t="str">
        <f>HYPERLINK("https://www.alpinabook.ru/catalog/book-voronki-prodazh-storybrand","ссылка на книгу")</f>
        <v>ссылка на книгу</v>
      </c>
      <c r="Y89" s="34" t="str">
        <f>HYPERLINK("https://api-enni.alpina.ru/FilePrivilegesApproval/135","https://api-enni.alpina.ru/FilePrivilegesApproval/135")</f>
        <v>https://api-enni.alpina.ru/FilePrivilegesApproval/135</v>
      </c>
      <c r="Z89" s="13" t="s">
        <v>70</v>
      </c>
      <c r="AT89" s="1">
        <f t="shared" si="5"/>
        <v>0</v>
      </c>
      <c r="AU89" s="1">
        <f t="shared" si="6"/>
        <v>0</v>
      </c>
      <c r="AV89" s="1">
        <f t="shared" si="7"/>
        <v>0</v>
      </c>
      <c r="AW89" s="1">
        <f t="shared" si="8"/>
        <v>0</v>
      </c>
      <c r="AX89" s="1">
        <f t="shared" si="9"/>
        <v>0</v>
      </c>
    </row>
    <row r="90" spans="1:50" s="1" customFormat="1" ht="24.95" customHeight="1" outlineLevel="1" x14ac:dyDescent="0.2">
      <c r="A90" s="11"/>
      <c r="B90" s="12">
        <v>790</v>
      </c>
      <c r="C90" s="15">
        <v>1190</v>
      </c>
      <c r="D90" s="12">
        <v>21040</v>
      </c>
      <c r="E90" s="13" t="s">
        <v>367</v>
      </c>
      <c r="F90" s="13" t="s">
        <v>368</v>
      </c>
      <c r="G90" s="13" t="s">
        <v>86</v>
      </c>
      <c r="H90" s="13"/>
      <c r="I90" s="12">
        <v>2025</v>
      </c>
      <c r="J90" s="13" t="s">
        <v>369</v>
      </c>
      <c r="K90" s="12">
        <v>9785001394587</v>
      </c>
      <c r="L90" s="13" t="s">
        <v>370</v>
      </c>
      <c r="M90" s="12">
        <v>176</v>
      </c>
      <c r="N90" s="14">
        <v>0.32</v>
      </c>
      <c r="O90" s="12">
        <v>150</v>
      </c>
      <c r="P90" s="12">
        <v>220</v>
      </c>
      <c r="Q90" s="12">
        <v>10</v>
      </c>
      <c r="R90" s="13" t="s">
        <v>43</v>
      </c>
      <c r="S90" s="13"/>
      <c r="T90" s="15">
        <v>1000</v>
      </c>
      <c r="U90" s="13" t="s">
        <v>52</v>
      </c>
      <c r="V90" s="13" t="s">
        <v>59</v>
      </c>
      <c r="W90" s="12">
        <v>10</v>
      </c>
      <c r="X90" s="33" t="str">
        <f>HYPERLINK("https://www.alpinabook.ru/catalog/book-vospitanie-mashin","ссылка на книгу")</f>
        <v>ссылка на книгу</v>
      </c>
      <c r="Y90" s="34" t="str">
        <f>HYPERLINK("https://api-enni.alpina.ru/FilePrivilegesApproval/151","https://api-enni.alpina.ru/FilePrivilegesApproval/151")</f>
        <v>https://api-enni.alpina.ru/FilePrivilegesApproval/151</v>
      </c>
      <c r="Z90" s="13" t="s">
        <v>118</v>
      </c>
      <c r="AT90" s="1">
        <f t="shared" si="5"/>
        <v>0</v>
      </c>
      <c r="AU90" s="1">
        <f t="shared" si="6"/>
        <v>0</v>
      </c>
      <c r="AV90" s="1">
        <f t="shared" si="7"/>
        <v>0</v>
      </c>
      <c r="AW90" s="1">
        <f t="shared" si="8"/>
        <v>0</v>
      </c>
      <c r="AX90" s="1">
        <f t="shared" si="9"/>
        <v>0</v>
      </c>
    </row>
    <row r="91" spans="1:50" s="1" customFormat="1" ht="24.95" customHeight="1" outlineLevel="1" x14ac:dyDescent="0.2">
      <c r="A91" s="11"/>
      <c r="B91" s="12">
        <v>990</v>
      </c>
      <c r="C91" s="15">
        <v>1490</v>
      </c>
      <c r="D91" s="12">
        <v>11572</v>
      </c>
      <c r="E91" s="13" t="s">
        <v>317</v>
      </c>
      <c r="F91" s="13" t="s">
        <v>371</v>
      </c>
      <c r="G91" s="13" t="s">
        <v>86</v>
      </c>
      <c r="H91" s="13" t="s">
        <v>40</v>
      </c>
      <c r="I91" s="12">
        <v>2025</v>
      </c>
      <c r="J91" s="13" t="s">
        <v>372</v>
      </c>
      <c r="K91" s="12">
        <v>9785002231584</v>
      </c>
      <c r="L91" s="13" t="s">
        <v>373</v>
      </c>
      <c r="M91" s="12">
        <v>536</v>
      </c>
      <c r="N91" s="14">
        <v>0.8</v>
      </c>
      <c r="O91" s="12">
        <v>170</v>
      </c>
      <c r="P91" s="12">
        <v>240</v>
      </c>
      <c r="Q91" s="12">
        <v>6</v>
      </c>
      <c r="R91" s="13" t="s">
        <v>94</v>
      </c>
      <c r="S91" s="13"/>
      <c r="T91" s="15">
        <v>10000</v>
      </c>
      <c r="U91" s="13" t="s">
        <v>52</v>
      </c>
      <c r="V91" s="13" t="s">
        <v>89</v>
      </c>
      <c r="W91" s="12">
        <v>10</v>
      </c>
      <c r="X91" s="33" t="str">
        <f>HYPERLINK("https://www.alpinabook.ru/catalog/book-vsye-resheno","ссылка на книгу")</f>
        <v>ссылка на книгу</v>
      </c>
      <c r="Y91" s="34" t="str">
        <f>HYPERLINK("https://api-enni.alpina.ru/FilePrivilegesApproval/813","https://api-enni.alpina.ru/FilePrivilegesApproval/813")</f>
        <v>https://api-enni.alpina.ru/FilePrivilegesApproval/813</v>
      </c>
      <c r="Z91" s="13" t="s">
        <v>374</v>
      </c>
      <c r="AT91" s="1">
        <f t="shared" si="5"/>
        <v>0</v>
      </c>
      <c r="AU91" s="1">
        <f t="shared" si="6"/>
        <v>0</v>
      </c>
      <c r="AV91" s="1">
        <f t="shared" si="7"/>
        <v>0</v>
      </c>
      <c r="AW91" s="1">
        <f t="shared" si="8"/>
        <v>0</v>
      </c>
      <c r="AX91" s="1">
        <f t="shared" si="9"/>
        <v>0</v>
      </c>
    </row>
    <row r="92" spans="1:50" s="1" customFormat="1" ht="24.95" customHeight="1" outlineLevel="1" x14ac:dyDescent="0.2">
      <c r="A92" s="11"/>
      <c r="B92" s="15">
        <v>1090</v>
      </c>
      <c r="C92" s="15">
        <v>1190</v>
      </c>
      <c r="D92" s="12">
        <v>17306</v>
      </c>
      <c r="E92" s="13" t="s">
        <v>375</v>
      </c>
      <c r="F92" s="13" t="s">
        <v>376</v>
      </c>
      <c r="G92" s="13" t="s">
        <v>86</v>
      </c>
      <c r="H92" s="13" t="s">
        <v>40</v>
      </c>
      <c r="I92" s="12">
        <v>2025</v>
      </c>
      <c r="J92" s="13" t="s">
        <v>377</v>
      </c>
      <c r="K92" s="12">
        <v>9785001392668</v>
      </c>
      <c r="L92" s="13" t="s">
        <v>378</v>
      </c>
      <c r="M92" s="12">
        <v>510</v>
      </c>
      <c r="N92" s="14">
        <v>0.72</v>
      </c>
      <c r="O92" s="12">
        <v>150</v>
      </c>
      <c r="P92" s="12">
        <v>220</v>
      </c>
      <c r="Q92" s="12">
        <v>8</v>
      </c>
      <c r="R92" s="13" t="s">
        <v>43</v>
      </c>
      <c r="S92" s="13"/>
      <c r="T92" s="15">
        <v>2000</v>
      </c>
      <c r="U92" s="13" t="s">
        <v>52</v>
      </c>
      <c r="V92" s="13" t="s">
        <v>45</v>
      </c>
      <c r="W92" s="12">
        <v>10</v>
      </c>
      <c r="X92" s="33" t="str">
        <f>HYPERLINK("https://www.alpinabook.ru/catalog/book-gabsburgi","ссылка на книгу")</f>
        <v>ссылка на книгу</v>
      </c>
      <c r="Y92" s="34" t="str">
        <f>HYPERLINK("https://api-enni.alpina.ru/FilePrivilegesApproval/848","https://api-enni.alpina.ru/FilePrivilegesApproval/848")</f>
        <v>https://api-enni.alpina.ru/FilePrivilegesApproval/848</v>
      </c>
      <c r="Z92" s="13" t="s">
        <v>46</v>
      </c>
      <c r="AT92" s="1">
        <f t="shared" si="5"/>
        <v>0</v>
      </c>
      <c r="AU92" s="1">
        <f t="shared" si="6"/>
        <v>0</v>
      </c>
      <c r="AV92" s="1">
        <f t="shared" si="7"/>
        <v>0</v>
      </c>
      <c r="AW92" s="1">
        <f t="shared" si="8"/>
        <v>0</v>
      </c>
      <c r="AX92" s="1">
        <f t="shared" si="9"/>
        <v>0</v>
      </c>
    </row>
    <row r="93" spans="1:50" s="1" customFormat="1" ht="24.95" customHeight="1" outlineLevel="1" x14ac:dyDescent="0.2">
      <c r="A93" s="11"/>
      <c r="B93" s="12">
        <v>890</v>
      </c>
      <c r="C93" s="15">
        <v>1290</v>
      </c>
      <c r="D93" s="12">
        <v>18759</v>
      </c>
      <c r="E93" s="13" t="s">
        <v>379</v>
      </c>
      <c r="F93" s="13" t="s">
        <v>380</v>
      </c>
      <c r="G93" s="13" t="s">
        <v>56</v>
      </c>
      <c r="H93" s="13" t="s">
        <v>40</v>
      </c>
      <c r="I93" s="12">
        <v>2025</v>
      </c>
      <c r="J93" s="13" t="s">
        <v>381</v>
      </c>
      <c r="K93" s="12">
        <v>9785961440331</v>
      </c>
      <c r="L93" s="13" t="s">
        <v>382</v>
      </c>
      <c r="M93" s="12">
        <v>154</v>
      </c>
      <c r="N93" s="14">
        <v>0.35</v>
      </c>
      <c r="O93" s="12">
        <v>150</v>
      </c>
      <c r="P93" s="12">
        <v>220</v>
      </c>
      <c r="Q93" s="12">
        <v>10</v>
      </c>
      <c r="R93" s="13" t="s">
        <v>43</v>
      </c>
      <c r="S93" s="13"/>
      <c r="T93" s="15">
        <v>1000</v>
      </c>
      <c r="U93" s="13" t="s">
        <v>52</v>
      </c>
      <c r="V93" s="13" t="s">
        <v>59</v>
      </c>
      <c r="W93" s="12">
        <v>10</v>
      </c>
      <c r="X93" s="33" t="str">
        <f>HYPERLINK("https://www.alpinabook.ru/catalog/book-globalnoe-raspredelenie-aktivov","ссылка на книгу")</f>
        <v>ссылка на книгу</v>
      </c>
      <c r="Y93" s="34" t="str">
        <f>HYPERLINK("https://api-enni.alpina.ru/FilePrivilegesApproval/152","https://api-enni.alpina.ru/FilePrivilegesApproval/152")</f>
        <v>https://api-enni.alpina.ru/FilePrivilegesApproval/152</v>
      </c>
      <c r="Z93" s="13" t="s">
        <v>118</v>
      </c>
      <c r="AT93" s="1">
        <f t="shared" ref="AT93:AT124" si="10">IF($A93&lt;&gt;0,1,0)</f>
        <v>0</v>
      </c>
      <c r="AU93" s="1">
        <f t="shared" ref="AU93:AU124" si="11">$A93*$B93</f>
        <v>0</v>
      </c>
      <c r="AV93" s="1">
        <f t="shared" ref="AV93:AV124" si="12">$A93*$N93</f>
        <v>0</v>
      </c>
      <c r="AW93" s="1">
        <f t="shared" ref="AW93:AW124" si="13">IF($Q93=0,0,INT($A93/$Q93))</f>
        <v>0</v>
      </c>
      <c r="AX93" s="1">
        <f t="shared" ref="AX93:AX124" si="14">$A93-$AW93*$Q93</f>
        <v>0</v>
      </c>
    </row>
    <row r="94" spans="1:50" s="1" customFormat="1" ht="24.95" customHeight="1" outlineLevel="1" x14ac:dyDescent="0.2">
      <c r="A94" s="11"/>
      <c r="B94" s="12">
        <v>790</v>
      </c>
      <c r="C94" s="15">
        <v>1190</v>
      </c>
      <c r="D94" s="12">
        <v>4734</v>
      </c>
      <c r="E94" s="13" t="s">
        <v>383</v>
      </c>
      <c r="F94" s="13" t="s">
        <v>384</v>
      </c>
      <c r="G94" s="13" t="s">
        <v>86</v>
      </c>
      <c r="H94" s="13" t="s">
        <v>40</v>
      </c>
      <c r="I94" s="12">
        <v>2024</v>
      </c>
      <c r="J94" s="13" t="s">
        <v>385</v>
      </c>
      <c r="K94" s="12">
        <v>9785916717433</v>
      </c>
      <c r="L94" s="13" t="s">
        <v>386</v>
      </c>
      <c r="M94" s="12">
        <v>388</v>
      </c>
      <c r="N94" s="14">
        <v>0.56000000000000005</v>
      </c>
      <c r="O94" s="12">
        <v>146</v>
      </c>
      <c r="P94" s="12">
        <v>216</v>
      </c>
      <c r="Q94" s="12">
        <v>6</v>
      </c>
      <c r="R94" s="13" t="s">
        <v>43</v>
      </c>
      <c r="S94" s="13"/>
      <c r="T94" s="15">
        <v>1000</v>
      </c>
      <c r="U94" s="13" t="s">
        <v>52</v>
      </c>
      <c r="V94" s="13" t="s">
        <v>64</v>
      </c>
      <c r="W94" s="12">
        <v>10</v>
      </c>
      <c r="X94" s="33" t="str">
        <f>HYPERLINK("https://www.alpinabook.ru/catalog/book-gollivudskiy-standart-scenarii","ссылка на книгу")</f>
        <v>ссылка на книгу</v>
      </c>
      <c r="Y94" s="34" t="str">
        <f>HYPERLINK("https://api-enni.alpina.ru/FilePrivilegesApproval/5","https://api-enni.alpina.ru/FilePrivilegesApproval/5")</f>
        <v>https://api-enni.alpina.ru/FilePrivilegesApproval/5</v>
      </c>
      <c r="Z94" s="13" t="s">
        <v>387</v>
      </c>
      <c r="AT94" s="1">
        <f t="shared" si="10"/>
        <v>0</v>
      </c>
      <c r="AU94" s="1">
        <f t="shared" si="11"/>
        <v>0</v>
      </c>
      <c r="AV94" s="1">
        <f t="shared" si="12"/>
        <v>0</v>
      </c>
      <c r="AW94" s="1">
        <f t="shared" si="13"/>
        <v>0</v>
      </c>
      <c r="AX94" s="1">
        <f t="shared" si="14"/>
        <v>0</v>
      </c>
    </row>
    <row r="95" spans="1:50" s="1" customFormat="1" ht="24.95" customHeight="1" outlineLevel="1" x14ac:dyDescent="0.2">
      <c r="A95" s="11"/>
      <c r="B95" s="12">
        <v>940</v>
      </c>
      <c r="C95" s="15">
        <v>1390</v>
      </c>
      <c r="D95" s="12">
        <v>7037</v>
      </c>
      <c r="E95" s="13" t="s">
        <v>388</v>
      </c>
      <c r="F95" s="13" t="s">
        <v>389</v>
      </c>
      <c r="G95" s="13" t="s">
        <v>97</v>
      </c>
      <c r="H95" s="13" t="s">
        <v>40</v>
      </c>
      <c r="I95" s="12">
        <v>2024</v>
      </c>
      <c r="J95" s="13" t="s">
        <v>390</v>
      </c>
      <c r="K95" s="12">
        <v>9785961461367</v>
      </c>
      <c r="L95" s="13" t="s">
        <v>391</v>
      </c>
      <c r="M95" s="12">
        <v>236</v>
      </c>
      <c r="N95" s="14">
        <v>0.49</v>
      </c>
      <c r="O95" s="12">
        <v>171</v>
      </c>
      <c r="P95" s="12">
        <v>241</v>
      </c>
      <c r="Q95" s="12">
        <v>10</v>
      </c>
      <c r="R95" s="13" t="s">
        <v>94</v>
      </c>
      <c r="S95" s="13"/>
      <c r="T95" s="15">
        <v>1000</v>
      </c>
      <c r="U95" s="13" t="s">
        <v>52</v>
      </c>
      <c r="V95" s="13" t="s">
        <v>64</v>
      </c>
      <c r="W95" s="12">
        <v>10</v>
      </c>
      <c r="X95" s="33" t="str">
        <f>HYPERLINK("https://www.alpinabook.ru/catalog/book-deytreyding-na-rynke-forex","ссылка на книгу")</f>
        <v>ссылка на книгу</v>
      </c>
      <c r="Y95" s="34" t="str">
        <f>HYPERLINK("https://api-enni.alpina.ru/FilePrivilegesApproval/2","https://api-enni.alpina.ru/FilePrivilegesApproval/2")</f>
        <v>https://api-enni.alpina.ru/FilePrivilegesApproval/2</v>
      </c>
      <c r="Z95" s="13" t="s">
        <v>392</v>
      </c>
      <c r="AT95" s="1">
        <f t="shared" si="10"/>
        <v>0</v>
      </c>
      <c r="AU95" s="1">
        <f t="shared" si="11"/>
        <v>0</v>
      </c>
      <c r="AV95" s="1">
        <f t="shared" si="12"/>
        <v>0</v>
      </c>
      <c r="AW95" s="1">
        <f t="shared" si="13"/>
        <v>0</v>
      </c>
      <c r="AX95" s="1">
        <f t="shared" si="14"/>
        <v>0</v>
      </c>
    </row>
    <row r="96" spans="1:50" s="1" customFormat="1" ht="24.95" customHeight="1" outlineLevel="1" x14ac:dyDescent="0.2">
      <c r="A96" s="11"/>
      <c r="B96" s="12">
        <v>690</v>
      </c>
      <c r="C96" s="12">
        <v>990</v>
      </c>
      <c r="D96" s="12">
        <v>17739</v>
      </c>
      <c r="E96" s="13" t="s">
        <v>393</v>
      </c>
      <c r="F96" s="13" t="s">
        <v>394</v>
      </c>
      <c r="G96" s="13" t="s">
        <v>56</v>
      </c>
      <c r="H96" s="13"/>
      <c r="I96" s="12">
        <v>2025</v>
      </c>
      <c r="J96" s="13" t="s">
        <v>395</v>
      </c>
      <c r="K96" s="12">
        <v>9785961433180</v>
      </c>
      <c r="L96" s="13" t="s">
        <v>396</v>
      </c>
      <c r="M96" s="12">
        <v>240</v>
      </c>
      <c r="N96" s="14">
        <v>0.38</v>
      </c>
      <c r="O96" s="12">
        <v>146</v>
      </c>
      <c r="P96" s="12">
        <v>216</v>
      </c>
      <c r="Q96" s="12">
        <v>16</v>
      </c>
      <c r="R96" s="13" t="s">
        <v>43</v>
      </c>
      <c r="S96" s="13"/>
      <c r="T96" s="15">
        <v>6000</v>
      </c>
      <c r="U96" s="13" t="s">
        <v>52</v>
      </c>
      <c r="V96" s="13" t="s">
        <v>269</v>
      </c>
      <c r="W96" s="12">
        <v>10</v>
      </c>
      <c r="X96" s="33" t="str">
        <f>HYPERLINK("https://www.alpinabook.ru/catalog/book-dengi-delayut-dengi","ссылка на книгу")</f>
        <v>ссылка на книгу</v>
      </c>
      <c r="Y96" s="34" t="str">
        <f>HYPERLINK("https://api-enni.alpina.ru/FilePrivilegesApproval/77","https://api-enni.alpina.ru/FilePrivilegesApproval/77")</f>
        <v>https://api-enni.alpina.ru/FilePrivilegesApproval/77</v>
      </c>
      <c r="Z96" s="13" t="s">
        <v>70</v>
      </c>
      <c r="AT96" s="1">
        <f t="shared" si="10"/>
        <v>0</v>
      </c>
      <c r="AU96" s="1">
        <f t="shared" si="11"/>
        <v>0</v>
      </c>
      <c r="AV96" s="1">
        <f t="shared" si="12"/>
        <v>0</v>
      </c>
      <c r="AW96" s="1">
        <f t="shared" si="13"/>
        <v>0</v>
      </c>
      <c r="AX96" s="1">
        <f t="shared" si="14"/>
        <v>0</v>
      </c>
    </row>
    <row r="97" spans="1:50" s="1" customFormat="1" ht="24.95" customHeight="1" outlineLevel="1" x14ac:dyDescent="0.2">
      <c r="A97" s="11"/>
      <c r="B97" s="12">
        <v>590</v>
      </c>
      <c r="C97" s="12">
        <v>840</v>
      </c>
      <c r="D97" s="12">
        <v>27747</v>
      </c>
      <c r="E97" s="13" t="s">
        <v>397</v>
      </c>
      <c r="F97" s="13" t="s">
        <v>398</v>
      </c>
      <c r="G97" s="13" t="s">
        <v>86</v>
      </c>
      <c r="H97" s="13" t="s">
        <v>40</v>
      </c>
      <c r="I97" s="12">
        <v>2022</v>
      </c>
      <c r="J97" s="13" t="s">
        <v>399</v>
      </c>
      <c r="K97" s="12">
        <v>9785001399520</v>
      </c>
      <c r="L97" s="13" t="s">
        <v>400</v>
      </c>
      <c r="M97" s="12">
        <v>238</v>
      </c>
      <c r="N97" s="14">
        <v>0.39</v>
      </c>
      <c r="O97" s="12">
        <v>170</v>
      </c>
      <c r="P97" s="12">
        <v>240</v>
      </c>
      <c r="Q97" s="12">
        <v>10</v>
      </c>
      <c r="R97" s="13" t="s">
        <v>94</v>
      </c>
      <c r="S97" s="13"/>
      <c r="T97" s="15">
        <v>1000</v>
      </c>
      <c r="U97" s="13" t="s">
        <v>44</v>
      </c>
      <c r="V97" s="13" t="s">
        <v>59</v>
      </c>
      <c r="W97" s="12">
        <v>10</v>
      </c>
      <c r="X97" s="33" t="str">
        <f>HYPERLINK("https://www.alpinabook.ru/catalog/book-derevo-yogi","ссылка на книгу")</f>
        <v>ссылка на книгу</v>
      </c>
      <c r="Y97" s="34" t="str">
        <f>HYPERLINK("https://api-enni.alpina.ru/FilePrivilegesApproval/149","https://api-enni.alpina.ru/FilePrivilegesApproval/149")</f>
        <v>https://api-enni.alpina.ru/FilePrivilegesApproval/149</v>
      </c>
      <c r="Z97" s="13" t="s">
        <v>65</v>
      </c>
      <c r="AT97" s="1">
        <f t="shared" si="10"/>
        <v>0</v>
      </c>
      <c r="AU97" s="1">
        <f t="shared" si="11"/>
        <v>0</v>
      </c>
      <c r="AV97" s="1">
        <f t="shared" si="12"/>
        <v>0</v>
      </c>
      <c r="AW97" s="1">
        <f t="shared" si="13"/>
        <v>0</v>
      </c>
      <c r="AX97" s="1">
        <f t="shared" si="14"/>
        <v>0</v>
      </c>
    </row>
    <row r="98" spans="1:50" s="1" customFormat="1" ht="24.95" customHeight="1" outlineLevel="1" x14ac:dyDescent="0.2">
      <c r="A98" s="11"/>
      <c r="B98" s="12">
        <v>640</v>
      </c>
      <c r="C98" s="12">
        <v>940</v>
      </c>
      <c r="D98" s="12">
        <v>5298</v>
      </c>
      <c r="E98" s="13" t="s">
        <v>401</v>
      </c>
      <c r="F98" s="13" t="s">
        <v>402</v>
      </c>
      <c r="G98" s="13" t="s">
        <v>56</v>
      </c>
      <c r="H98" s="13" t="s">
        <v>40</v>
      </c>
      <c r="I98" s="12">
        <v>2025</v>
      </c>
      <c r="J98" s="13" t="s">
        <v>403</v>
      </c>
      <c r="K98" s="12">
        <v>9785961468854</v>
      </c>
      <c r="L98" s="13" t="s">
        <v>404</v>
      </c>
      <c r="M98" s="12">
        <v>158</v>
      </c>
      <c r="N98" s="14">
        <v>0.31</v>
      </c>
      <c r="O98" s="12">
        <v>150</v>
      </c>
      <c r="P98" s="12">
        <v>220</v>
      </c>
      <c r="Q98" s="12">
        <v>10</v>
      </c>
      <c r="R98" s="13" t="s">
        <v>43</v>
      </c>
      <c r="S98" s="13"/>
      <c r="T98" s="15">
        <v>1000</v>
      </c>
      <c r="U98" s="13" t="s">
        <v>52</v>
      </c>
      <c r="V98" s="13" t="s">
        <v>64</v>
      </c>
      <c r="W98" s="12">
        <v>10</v>
      </c>
      <c r="X98" s="33" t="str">
        <f>HYPERLINK("https://www.alpinabook.ru/catalog/book-desyat-smertnykh-grekhov-marketinga","ссылка на книгу")</f>
        <v>ссылка на книгу</v>
      </c>
      <c r="Y98" s="34" t="str">
        <f>HYPERLINK("https://api-enni.alpina.ru/FilePrivilegesApproval/2","https://api-enni.alpina.ru/FilePrivilegesApproval/2")</f>
        <v>https://api-enni.alpina.ru/FilePrivilegesApproval/2</v>
      </c>
      <c r="Z98" s="13" t="s">
        <v>405</v>
      </c>
      <c r="AT98" s="1">
        <f t="shared" si="10"/>
        <v>0</v>
      </c>
      <c r="AU98" s="1">
        <f t="shared" si="11"/>
        <v>0</v>
      </c>
      <c r="AV98" s="1">
        <f t="shared" si="12"/>
        <v>0</v>
      </c>
      <c r="AW98" s="1">
        <f t="shared" si="13"/>
        <v>0</v>
      </c>
      <c r="AX98" s="1">
        <f t="shared" si="14"/>
        <v>0</v>
      </c>
    </row>
    <row r="99" spans="1:50" s="1" customFormat="1" ht="24.95" customHeight="1" outlineLevel="1" x14ac:dyDescent="0.2">
      <c r="A99" s="11"/>
      <c r="B99" s="12">
        <v>890</v>
      </c>
      <c r="C99" s="15">
        <v>1290</v>
      </c>
      <c r="D99" s="12">
        <v>28084</v>
      </c>
      <c r="E99" s="13" t="s">
        <v>406</v>
      </c>
      <c r="F99" s="13" t="s">
        <v>407</v>
      </c>
      <c r="G99" s="13" t="s">
        <v>56</v>
      </c>
      <c r="H99" s="13" t="s">
        <v>40</v>
      </c>
      <c r="I99" s="12">
        <v>2025</v>
      </c>
      <c r="J99" s="13" t="s">
        <v>408</v>
      </c>
      <c r="K99" s="12">
        <v>9785961487237</v>
      </c>
      <c r="L99" s="13" t="s">
        <v>409</v>
      </c>
      <c r="M99" s="12">
        <v>240</v>
      </c>
      <c r="N99" s="14">
        <v>0.38</v>
      </c>
      <c r="O99" s="12">
        <v>170</v>
      </c>
      <c r="P99" s="12">
        <v>240</v>
      </c>
      <c r="Q99" s="12">
        <v>10</v>
      </c>
      <c r="R99" s="13" t="s">
        <v>94</v>
      </c>
      <c r="S99" s="13"/>
      <c r="T99" s="15">
        <v>1000</v>
      </c>
      <c r="U99" s="13" t="s">
        <v>44</v>
      </c>
      <c r="V99" s="13" t="s">
        <v>64</v>
      </c>
      <c r="W99" s="12">
        <v>10</v>
      </c>
      <c r="X99" s="33" t="str">
        <f>HYPERLINK("https://www.alpinabook.ru/catalog/book-dilemma-innovatora","ссылка на книгу")</f>
        <v>ссылка на книгу</v>
      </c>
      <c r="Y99" s="34" t="str">
        <f>HYPERLINK("https://api-enni.alpina.ru/FilePrivilegesApproval/162","https://api-enni.alpina.ru/FilePrivilegesApproval/162")</f>
        <v>https://api-enni.alpina.ru/FilePrivilegesApproval/162</v>
      </c>
      <c r="Z99" s="13" t="s">
        <v>77</v>
      </c>
      <c r="AT99" s="1">
        <f t="shared" si="10"/>
        <v>0</v>
      </c>
      <c r="AU99" s="1">
        <f t="shared" si="11"/>
        <v>0</v>
      </c>
      <c r="AV99" s="1">
        <f t="shared" si="12"/>
        <v>0</v>
      </c>
      <c r="AW99" s="1">
        <f t="shared" si="13"/>
        <v>0</v>
      </c>
      <c r="AX99" s="1">
        <f t="shared" si="14"/>
        <v>0</v>
      </c>
    </row>
    <row r="100" spans="1:50" s="1" customFormat="1" ht="24.95" customHeight="1" outlineLevel="1" x14ac:dyDescent="0.2">
      <c r="A100" s="11"/>
      <c r="B100" s="12">
        <v>540</v>
      </c>
      <c r="C100" s="12">
        <v>790</v>
      </c>
      <c r="D100" s="12">
        <v>6018</v>
      </c>
      <c r="E100" s="13" t="s">
        <v>410</v>
      </c>
      <c r="F100" s="13" t="s">
        <v>411</v>
      </c>
      <c r="G100" s="13" t="s">
        <v>56</v>
      </c>
      <c r="H100" s="13" t="s">
        <v>40</v>
      </c>
      <c r="I100" s="12">
        <v>2025</v>
      </c>
      <c r="J100" s="13" t="s">
        <v>412</v>
      </c>
      <c r="K100" s="12">
        <v>9785961459036</v>
      </c>
      <c r="L100" s="13" t="s">
        <v>413</v>
      </c>
      <c r="M100" s="12">
        <v>192</v>
      </c>
      <c r="N100" s="14">
        <v>0.33</v>
      </c>
      <c r="O100" s="12">
        <v>146</v>
      </c>
      <c r="P100" s="12">
        <v>216</v>
      </c>
      <c r="Q100" s="12">
        <v>8</v>
      </c>
      <c r="R100" s="13" t="s">
        <v>43</v>
      </c>
      <c r="S100" s="13"/>
      <c r="T100" s="15">
        <v>1000</v>
      </c>
      <c r="U100" s="13" t="s">
        <v>52</v>
      </c>
      <c r="V100" s="13" t="s">
        <v>64</v>
      </c>
      <c r="W100" s="12">
        <v>10</v>
      </c>
      <c r="X100" s="33" t="str">
        <f>HYPERLINK("https://www.alpinabook.ru/catalog/book-dobroe-utro-kazhdyy-den","ссылка на книгу")</f>
        <v>ссылка на книгу</v>
      </c>
      <c r="Y100" s="34" t="str">
        <f>HYPERLINK("https://api-enni.alpina.ru/FilePrivilegesApproval/2","https://api-enni.alpina.ru/FilePrivilegesApproval/2")</f>
        <v>https://api-enni.alpina.ru/FilePrivilegesApproval/2</v>
      </c>
      <c r="Z100" s="13" t="s">
        <v>77</v>
      </c>
      <c r="AT100" s="1">
        <f t="shared" si="10"/>
        <v>0</v>
      </c>
      <c r="AU100" s="1">
        <f t="shared" si="11"/>
        <v>0</v>
      </c>
      <c r="AV100" s="1">
        <f t="shared" si="12"/>
        <v>0</v>
      </c>
      <c r="AW100" s="1">
        <f t="shared" si="13"/>
        <v>0</v>
      </c>
      <c r="AX100" s="1">
        <f t="shared" si="14"/>
        <v>0</v>
      </c>
    </row>
    <row r="101" spans="1:50" s="1" customFormat="1" ht="24.95" customHeight="1" outlineLevel="1" x14ac:dyDescent="0.2">
      <c r="A101" s="11"/>
      <c r="B101" s="12">
        <v>590</v>
      </c>
      <c r="C101" s="12">
        <v>840</v>
      </c>
      <c r="D101" s="12">
        <v>19148</v>
      </c>
      <c r="E101" s="13" t="s">
        <v>414</v>
      </c>
      <c r="F101" s="13" t="s">
        <v>415</v>
      </c>
      <c r="G101" s="13" t="s">
        <v>56</v>
      </c>
      <c r="H101" s="13"/>
      <c r="I101" s="12">
        <v>2024</v>
      </c>
      <c r="J101" s="13" t="s">
        <v>416</v>
      </c>
      <c r="K101" s="12">
        <v>9785961483512</v>
      </c>
      <c r="L101" s="13" t="s">
        <v>417</v>
      </c>
      <c r="M101" s="12">
        <v>246</v>
      </c>
      <c r="N101" s="14">
        <v>0.4</v>
      </c>
      <c r="O101" s="12">
        <v>150</v>
      </c>
      <c r="P101" s="12">
        <v>220</v>
      </c>
      <c r="Q101" s="12">
        <v>5</v>
      </c>
      <c r="R101" s="13" t="s">
        <v>43</v>
      </c>
      <c r="S101" s="13"/>
      <c r="T101" s="15">
        <v>1000</v>
      </c>
      <c r="U101" s="13" t="s">
        <v>52</v>
      </c>
      <c r="V101" s="13" t="s">
        <v>59</v>
      </c>
      <c r="W101" s="12">
        <v>10</v>
      </c>
      <c r="X101" s="33" t="str">
        <f>HYPERLINK("https://www.alpinabook.ru/catalog/book-doverie-v-biznese","ссылка на книгу")</f>
        <v>ссылка на книгу</v>
      </c>
      <c r="Y101" s="34" t="str">
        <f>HYPERLINK("https://api-enni.alpina.ru/FilePrivilegesApproval/210","https://api-enni.alpina.ru/FilePrivilegesApproval/210")</f>
        <v>https://api-enni.alpina.ru/FilePrivilegesApproval/210</v>
      </c>
      <c r="Z101" s="13"/>
      <c r="AT101" s="1">
        <f t="shared" si="10"/>
        <v>0</v>
      </c>
      <c r="AU101" s="1">
        <f t="shared" si="11"/>
        <v>0</v>
      </c>
      <c r="AV101" s="1">
        <f t="shared" si="12"/>
        <v>0</v>
      </c>
      <c r="AW101" s="1">
        <f t="shared" si="13"/>
        <v>0</v>
      </c>
      <c r="AX101" s="1">
        <f t="shared" si="14"/>
        <v>0</v>
      </c>
    </row>
    <row r="102" spans="1:50" s="1" customFormat="1" ht="24.95" customHeight="1" outlineLevel="1" x14ac:dyDescent="0.2">
      <c r="A102" s="11"/>
      <c r="B102" s="12">
        <v>590</v>
      </c>
      <c r="C102" s="12">
        <v>790</v>
      </c>
      <c r="D102" s="12">
        <v>27683</v>
      </c>
      <c r="E102" s="13" t="s">
        <v>418</v>
      </c>
      <c r="F102" s="13" t="s">
        <v>419</v>
      </c>
      <c r="G102" s="13" t="s">
        <v>56</v>
      </c>
      <c r="H102" s="13" t="s">
        <v>40</v>
      </c>
      <c r="I102" s="12">
        <v>2025</v>
      </c>
      <c r="J102" s="13" t="s">
        <v>420</v>
      </c>
      <c r="K102" s="12">
        <v>9785961486896</v>
      </c>
      <c r="L102" s="13" t="s">
        <v>421</v>
      </c>
      <c r="M102" s="12">
        <v>256</v>
      </c>
      <c r="N102" s="14">
        <v>0.54</v>
      </c>
      <c r="O102" s="12">
        <v>170</v>
      </c>
      <c r="P102" s="12">
        <v>250</v>
      </c>
      <c r="Q102" s="12">
        <v>5</v>
      </c>
      <c r="R102" s="13" t="s">
        <v>94</v>
      </c>
      <c r="S102" s="13"/>
      <c r="T102" s="15">
        <v>1000</v>
      </c>
      <c r="U102" s="13" t="s">
        <v>52</v>
      </c>
      <c r="V102" s="13" t="s">
        <v>64</v>
      </c>
      <c r="W102" s="12">
        <v>10</v>
      </c>
      <c r="X102" s="33" t="str">
        <f>HYPERLINK("https://www.alpinabook.ru/catalog/book-dumay-kak-milliarder","ссылка на книгу")</f>
        <v>ссылка на книгу</v>
      </c>
      <c r="Y102" s="34" t="str">
        <f>HYPERLINK("https://api-enni.alpina.ru/FilePrivilegesApproval/124","https://api-enni.alpina.ru/FilePrivilegesApproval/124")</f>
        <v>https://api-enni.alpina.ru/FilePrivilegesApproval/124</v>
      </c>
      <c r="Z102" s="13" t="s">
        <v>77</v>
      </c>
      <c r="AT102" s="1">
        <f t="shared" si="10"/>
        <v>0</v>
      </c>
      <c r="AU102" s="1">
        <f t="shared" si="11"/>
        <v>0</v>
      </c>
      <c r="AV102" s="1">
        <f t="shared" si="12"/>
        <v>0</v>
      </c>
      <c r="AW102" s="1">
        <f t="shared" si="13"/>
        <v>0</v>
      </c>
      <c r="AX102" s="1">
        <f t="shared" si="14"/>
        <v>0</v>
      </c>
    </row>
    <row r="103" spans="1:50" s="1" customFormat="1" ht="21.95" customHeight="1" outlineLevel="1" x14ac:dyDescent="0.2">
      <c r="A103" s="11"/>
      <c r="B103" s="12">
        <v>590</v>
      </c>
      <c r="C103" s="12">
        <v>840</v>
      </c>
      <c r="D103" s="12">
        <v>25328</v>
      </c>
      <c r="E103" s="13" t="s">
        <v>422</v>
      </c>
      <c r="F103" s="13" t="s">
        <v>423</v>
      </c>
      <c r="G103" s="13" t="s">
        <v>56</v>
      </c>
      <c r="H103" s="13"/>
      <c r="I103" s="12">
        <v>2025</v>
      </c>
      <c r="J103" s="13" t="s">
        <v>424</v>
      </c>
      <c r="K103" s="12">
        <v>9785961486513</v>
      </c>
      <c r="L103" s="13" t="s">
        <v>425</v>
      </c>
      <c r="M103" s="12">
        <v>160</v>
      </c>
      <c r="N103" s="14">
        <v>0.46</v>
      </c>
      <c r="O103" s="12">
        <v>170</v>
      </c>
      <c r="P103" s="12">
        <v>240</v>
      </c>
      <c r="Q103" s="12">
        <v>10</v>
      </c>
      <c r="R103" s="13" t="s">
        <v>94</v>
      </c>
      <c r="S103" s="13" t="s">
        <v>426</v>
      </c>
      <c r="T103" s="15">
        <v>2000</v>
      </c>
      <c r="U103" s="13" t="s">
        <v>268</v>
      </c>
      <c r="V103" s="13" t="s">
        <v>64</v>
      </c>
      <c r="W103" s="12">
        <v>20</v>
      </c>
      <c r="X103" s="33" t="str">
        <f>HYPERLINK("https://www.alpinabook.ru/catalog/book-365-facts-about-me","ссылка на книгу")</f>
        <v>ссылка на книгу</v>
      </c>
      <c r="Y103" s="34" t="str">
        <f>HYPERLINK("","")</f>
        <v/>
      </c>
      <c r="Z103" s="13" t="s">
        <v>83</v>
      </c>
      <c r="AT103" s="1">
        <f t="shared" si="10"/>
        <v>0</v>
      </c>
      <c r="AU103" s="1">
        <f t="shared" si="11"/>
        <v>0</v>
      </c>
      <c r="AV103" s="1">
        <f t="shared" si="12"/>
        <v>0</v>
      </c>
      <c r="AW103" s="1">
        <f t="shared" si="13"/>
        <v>0</v>
      </c>
      <c r="AX103" s="1">
        <f t="shared" si="14"/>
        <v>0</v>
      </c>
    </row>
    <row r="104" spans="1:50" s="1" customFormat="1" ht="24.95" customHeight="1" outlineLevel="1" x14ac:dyDescent="0.2">
      <c r="A104" s="11"/>
      <c r="B104" s="12">
        <v>690</v>
      </c>
      <c r="C104" s="12">
        <v>690</v>
      </c>
      <c r="D104" s="12">
        <v>5652</v>
      </c>
      <c r="E104" s="13" t="s">
        <v>427</v>
      </c>
      <c r="F104" s="13" t="s">
        <v>428</v>
      </c>
      <c r="G104" s="13" t="s">
        <v>56</v>
      </c>
      <c r="H104" s="13" t="s">
        <v>40</v>
      </c>
      <c r="I104" s="12">
        <v>2025</v>
      </c>
      <c r="J104" s="13" t="s">
        <v>429</v>
      </c>
      <c r="K104" s="12">
        <v>9785961468229</v>
      </c>
      <c r="L104" s="13" t="s">
        <v>430</v>
      </c>
      <c r="M104" s="12">
        <v>294</v>
      </c>
      <c r="N104" s="14">
        <v>0.44</v>
      </c>
      <c r="O104" s="12">
        <v>150</v>
      </c>
      <c r="P104" s="12">
        <v>220</v>
      </c>
      <c r="Q104" s="12">
        <v>5</v>
      </c>
      <c r="R104" s="13" t="s">
        <v>43</v>
      </c>
      <c r="S104" s="13"/>
      <c r="T104" s="15">
        <v>1000</v>
      </c>
      <c r="U104" s="13" t="s">
        <v>52</v>
      </c>
      <c r="V104" s="13" t="s">
        <v>64</v>
      </c>
      <c r="W104" s="12">
        <v>10</v>
      </c>
      <c r="X104" s="33" t="str">
        <f>HYPERLINK("https://www.alpinabook.ru/catalog/book-est-ideya","ссылка на книгу")</f>
        <v>ссылка на книгу</v>
      </c>
      <c r="Y104" s="34" t="str">
        <f>HYPERLINK("https://api-enni.alpina.ru/FilePrivilegesApproval/158","https://api-enni.alpina.ru/FilePrivilegesApproval/158")</f>
        <v>https://api-enni.alpina.ru/FilePrivilegesApproval/158</v>
      </c>
      <c r="Z104" s="13" t="s">
        <v>431</v>
      </c>
      <c r="AT104" s="1">
        <f t="shared" si="10"/>
        <v>0</v>
      </c>
      <c r="AU104" s="1">
        <f t="shared" si="11"/>
        <v>0</v>
      </c>
      <c r="AV104" s="1">
        <f t="shared" si="12"/>
        <v>0</v>
      </c>
      <c r="AW104" s="1">
        <f t="shared" si="13"/>
        <v>0</v>
      </c>
      <c r="AX104" s="1">
        <f t="shared" si="14"/>
        <v>0</v>
      </c>
    </row>
    <row r="105" spans="1:50" s="1" customFormat="1" ht="24.95" customHeight="1" outlineLevel="1" x14ac:dyDescent="0.2">
      <c r="A105" s="11"/>
      <c r="B105" s="12">
        <v>540</v>
      </c>
      <c r="C105" s="12">
        <v>790</v>
      </c>
      <c r="D105" s="12">
        <v>26442</v>
      </c>
      <c r="E105" s="13" t="s">
        <v>432</v>
      </c>
      <c r="F105" s="13" t="s">
        <v>433</v>
      </c>
      <c r="G105" s="13" t="s">
        <v>56</v>
      </c>
      <c r="H105" s="13" t="s">
        <v>434</v>
      </c>
      <c r="I105" s="12">
        <v>2025</v>
      </c>
      <c r="J105" s="13" t="s">
        <v>435</v>
      </c>
      <c r="K105" s="12">
        <v>9785961481686</v>
      </c>
      <c r="L105" s="13" t="s">
        <v>436</v>
      </c>
      <c r="M105" s="12">
        <v>240</v>
      </c>
      <c r="N105" s="14">
        <v>0.38</v>
      </c>
      <c r="O105" s="12">
        <v>150</v>
      </c>
      <c r="P105" s="12">
        <v>220</v>
      </c>
      <c r="Q105" s="12">
        <v>5</v>
      </c>
      <c r="R105" s="13" t="s">
        <v>43</v>
      </c>
      <c r="S105" s="13"/>
      <c r="T105" s="15">
        <v>1000</v>
      </c>
      <c r="U105" s="13" t="s">
        <v>52</v>
      </c>
      <c r="V105" s="13" t="s">
        <v>64</v>
      </c>
      <c r="W105" s="12">
        <v>10</v>
      </c>
      <c r="X105" s="33" t="str">
        <f>HYPERLINK("https://www.alpinabook.ru/catalog/book-za-bortom-po-svoey-vole","ссылка на книгу")</f>
        <v>ссылка на книгу</v>
      </c>
      <c r="Y105" s="34" t="str">
        <f>HYPERLINK("https://api-enni.alpina.ru/FilePrivilegesApproval/163","https://api-enni.alpina.ru/FilePrivilegesApproval/163")</f>
        <v>https://api-enni.alpina.ru/FilePrivilegesApproval/163</v>
      </c>
      <c r="Z105" s="13" t="s">
        <v>431</v>
      </c>
      <c r="AT105" s="1">
        <f t="shared" si="10"/>
        <v>0</v>
      </c>
      <c r="AU105" s="1">
        <f t="shared" si="11"/>
        <v>0</v>
      </c>
      <c r="AV105" s="1">
        <f t="shared" si="12"/>
        <v>0</v>
      </c>
      <c r="AW105" s="1">
        <f t="shared" si="13"/>
        <v>0</v>
      </c>
      <c r="AX105" s="1">
        <f t="shared" si="14"/>
        <v>0</v>
      </c>
    </row>
    <row r="106" spans="1:50" s="1" customFormat="1" ht="24.95" customHeight="1" outlineLevel="1" x14ac:dyDescent="0.2">
      <c r="A106" s="11"/>
      <c r="B106" s="12">
        <v>590</v>
      </c>
      <c r="C106" s="12">
        <v>840</v>
      </c>
      <c r="D106" s="12">
        <v>28551</v>
      </c>
      <c r="E106" s="13" t="s">
        <v>437</v>
      </c>
      <c r="F106" s="13" t="s">
        <v>438</v>
      </c>
      <c r="G106" s="13" t="s">
        <v>97</v>
      </c>
      <c r="H106" s="13"/>
      <c r="I106" s="12">
        <v>2025</v>
      </c>
      <c r="J106" s="13" t="s">
        <v>439</v>
      </c>
      <c r="K106" s="12">
        <v>9785206002140</v>
      </c>
      <c r="L106" s="13" t="s">
        <v>440</v>
      </c>
      <c r="M106" s="12">
        <v>192</v>
      </c>
      <c r="N106" s="14">
        <v>0.26</v>
      </c>
      <c r="O106" s="12">
        <v>150</v>
      </c>
      <c r="P106" s="12">
        <v>210</v>
      </c>
      <c r="Q106" s="12">
        <v>22</v>
      </c>
      <c r="R106" s="13" t="s">
        <v>43</v>
      </c>
      <c r="S106" s="13"/>
      <c r="T106" s="15">
        <v>1000</v>
      </c>
      <c r="U106" s="13" t="s">
        <v>44</v>
      </c>
      <c r="V106" s="13" t="s">
        <v>59</v>
      </c>
      <c r="W106" s="12">
        <v>10</v>
      </c>
      <c r="X106" s="33" t="str">
        <f>HYPERLINK("https://www.alpinabook.ru/catalog/book-zerkalo-dlya-lidera","ссылка на книгу")</f>
        <v>ссылка на книгу</v>
      </c>
      <c r="Y106" s="34" t="str">
        <f>HYPERLINK("https://api-enni.alpina.ru/FilePrivilegesApproval/325","https://api-enni.alpina.ru/FilePrivilegesApproval/325")</f>
        <v>https://api-enni.alpina.ru/FilePrivilegesApproval/325</v>
      </c>
      <c r="Z106" s="13" t="s">
        <v>70</v>
      </c>
      <c r="AT106" s="1">
        <f t="shared" si="10"/>
        <v>0</v>
      </c>
      <c r="AU106" s="1">
        <f t="shared" si="11"/>
        <v>0</v>
      </c>
      <c r="AV106" s="1">
        <f t="shared" si="12"/>
        <v>0</v>
      </c>
      <c r="AW106" s="1">
        <f t="shared" si="13"/>
        <v>0</v>
      </c>
      <c r="AX106" s="1">
        <f t="shared" si="14"/>
        <v>0</v>
      </c>
    </row>
    <row r="107" spans="1:50" s="1" customFormat="1" ht="24.95" customHeight="1" outlineLevel="1" x14ac:dyDescent="0.2">
      <c r="A107" s="11"/>
      <c r="B107" s="15">
        <v>1090</v>
      </c>
      <c r="C107" s="15">
        <v>1590</v>
      </c>
      <c r="D107" s="12">
        <v>32012</v>
      </c>
      <c r="E107" s="13" t="s">
        <v>441</v>
      </c>
      <c r="F107" s="13" t="s">
        <v>442</v>
      </c>
      <c r="G107" s="13" t="s">
        <v>97</v>
      </c>
      <c r="H107" s="13"/>
      <c r="I107" s="12">
        <v>2025</v>
      </c>
      <c r="J107" s="13" t="s">
        <v>443</v>
      </c>
      <c r="K107" s="12">
        <v>9785206003987</v>
      </c>
      <c r="L107" s="13" t="s">
        <v>444</v>
      </c>
      <c r="M107" s="12">
        <v>298</v>
      </c>
      <c r="N107" s="14">
        <v>0.86</v>
      </c>
      <c r="O107" s="12">
        <v>170</v>
      </c>
      <c r="P107" s="12">
        <v>240</v>
      </c>
      <c r="Q107" s="12">
        <v>5</v>
      </c>
      <c r="R107" s="13" t="s">
        <v>94</v>
      </c>
      <c r="S107" s="13"/>
      <c r="T107" s="15">
        <v>1005</v>
      </c>
      <c r="U107" s="13" t="s">
        <v>52</v>
      </c>
      <c r="V107" s="13" t="s">
        <v>45</v>
      </c>
      <c r="W107" s="12">
        <v>10</v>
      </c>
      <c r="X107" s="33" t="str">
        <f>HYPERLINK("https://www.alpinabook.ru/catalog/book-idyem-po-kibersledu","ссылка на книгу")</f>
        <v>ссылка на книгу</v>
      </c>
      <c r="Y107" s="34" t="str">
        <f>HYPERLINK("https://api-enni.alpina.ru/FilePrivilegesApproval/735","https://api-enni.alpina.ru/FilePrivilegesApproval/735")</f>
        <v>https://api-enni.alpina.ru/FilePrivilegesApproval/735</v>
      </c>
      <c r="Z107" s="13"/>
      <c r="AT107" s="1">
        <f t="shared" si="10"/>
        <v>0</v>
      </c>
      <c r="AU107" s="1">
        <f t="shared" si="11"/>
        <v>0</v>
      </c>
      <c r="AV107" s="1">
        <f t="shared" si="12"/>
        <v>0</v>
      </c>
      <c r="AW107" s="1">
        <f t="shared" si="13"/>
        <v>0</v>
      </c>
      <c r="AX107" s="1">
        <f t="shared" si="14"/>
        <v>0</v>
      </c>
    </row>
    <row r="108" spans="1:50" s="1" customFormat="1" ht="24.95" customHeight="1" outlineLevel="1" x14ac:dyDescent="0.2">
      <c r="A108" s="11"/>
      <c r="B108" s="12">
        <v>490</v>
      </c>
      <c r="C108" s="12">
        <v>740</v>
      </c>
      <c r="D108" s="12">
        <v>6526</v>
      </c>
      <c r="E108" s="13" t="s">
        <v>445</v>
      </c>
      <c r="F108" s="13" t="s">
        <v>446</v>
      </c>
      <c r="G108" s="13" t="s">
        <v>56</v>
      </c>
      <c r="H108" s="13"/>
      <c r="I108" s="12">
        <v>2025</v>
      </c>
      <c r="J108" s="13" t="s">
        <v>447</v>
      </c>
      <c r="K108" s="12">
        <v>9785961468915</v>
      </c>
      <c r="L108" s="13" t="s">
        <v>448</v>
      </c>
      <c r="M108" s="12">
        <v>336</v>
      </c>
      <c r="N108" s="14">
        <v>0.44</v>
      </c>
      <c r="O108" s="12">
        <v>140</v>
      </c>
      <c r="P108" s="12">
        <v>210</v>
      </c>
      <c r="Q108" s="12">
        <v>10</v>
      </c>
      <c r="R108" s="13" t="s">
        <v>43</v>
      </c>
      <c r="S108" s="13"/>
      <c r="T108" s="15">
        <v>1000</v>
      </c>
      <c r="U108" s="13" t="s">
        <v>44</v>
      </c>
      <c r="V108" s="13" t="s">
        <v>64</v>
      </c>
      <c r="W108" s="12">
        <v>10</v>
      </c>
      <c r="X108" s="33" t="str">
        <f>HYPERLINK("https://www.alpinabook.ru/catalog/book-izgnannye-v-sad","ссылка на книгу")</f>
        <v>ссылка на книгу</v>
      </c>
      <c r="Y108" s="34" t="str">
        <f>HYPERLINK("https://api-enni.alpina.ru/FilePrivilegesApproval/141","https://api-enni.alpina.ru/FilePrivilegesApproval/141")</f>
        <v>https://api-enni.alpina.ru/FilePrivilegesApproval/141</v>
      </c>
      <c r="Z108" s="13" t="s">
        <v>77</v>
      </c>
      <c r="AT108" s="1">
        <f t="shared" si="10"/>
        <v>0</v>
      </c>
      <c r="AU108" s="1">
        <f t="shared" si="11"/>
        <v>0</v>
      </c>
      <c r="AV108" s="1">
        <f t="shared" si="12"/>
        <v>0</v>
      </c>
      <c r="AW108" s="1">
        <f t="shared" si="13"/>
        <v>0</v>
      </c>
      <c r="AX108" s="1">
        <f t="shared" si="14"/>
        <v>0</v>
      </c>
    </row>
    <row r="109" spans="1:50" s="1" customFormat="1" ht="24.95" customHeight="1" outlineLevel="1" x14ac:dyDescent="0.2">
      <c r="A109" s="11"/>
      <c r="B109" s="12">
        <v>290</v>
      </c>
      <c r="C109" s="12">
        <v>440</v>
      </c>
      <c r="D109" s="12">
        <v>25979</v>
      </c>
      <c r="E109" s="13" t="s">
        <v>449</v>
      </c>
      <c r="F109" s="13" t="s">
        <v>450</v>
      </c>
      <c r="G109" s="13" t="s">
        <v>56</v>
      </c>
      <c r="H109" s="13" t="s">
        <v>200</v>
      </c>
      <c r="I109" s="12">
        <v>2025</v>
      </c>
      <c r="J109" s="13" t="s">
        <v>451</v>
      </c>
      <c r="K109" s="12">
        <v>9785961483741</v>
      </c>
      <c r="L109" s="13" t="s">
        <v>452</v>
      </c>
      <c r="M109" s="12">
        <v>176</v>
      </c>
      <c r="N109" s="14">
        <v>0.14000000000000001</v>
      </c>
      <c r="O109" s="12">
        <v>120</v>
      </c>
      <c r="P109" s="12">
        <v>170</v>
      </c>
      <c r="Q109" s="12">
        <v>30</v>
      </c>
      <c r="R109" s="13" t="s">
        <v>75</v>
      </c>
      <c r="S109" s="13" t="s">
        <v>76</v>
      </c>
      <c r="T109" s="15">
        <v>2000</v>
      </c>
      <c r="U109" s="13" t="s">
        <v>44</v>
      </c>
      <c r="V109" s="13" t="s">
        <v>64</v>
      </c>
      <c r="W109" s="12">
        <v>10</v>
      </c>
      <c r="X109" s="33" t="str">
        <f>HYPERLINK("https://www.alpinabook.ru/catalog/book-ikigay","ссылка на книгу")</f>
        <v>ссылка на книгу</v>
      </c>
      <c r="Y109" s="34" t="str">
        <f>HYPERLINK("https://api-enni.alpina.ru/FilePrivilegesApproval/122","https://api-enni.alpina.ru/FilePrivilegesApproval/122")</f>
        <v>https://api-enni.alpina.ru/FilePrivilegesApproval/122</v>
      </c>
      <c r="Z109" s="13" t="s">
        <v>70</v>
      </c>
      <c r="AT109" s="1">
        <f t="shared" si="10"/>
        <v>0</v>
      </c>
      <c r="AU109" s="1">
        <f t="shared" si="11"/>
        <v>0</v>
      </c>
      <c r="AV109" s="1">
        <f t="shared" si="12"/>
        <v>0</v>
      </c>
      <c r="AW109" s="1">
        <f t="shared" si="13"/>
        <v>0</v>
      </c>
      <c r="AX109" s="1">
        <f t="shared" si="14"/>
        <v>0</v>
      </c>
    </row>
    <row r="110" spans="1:50" s="1" customFormat="1" ht="24.95" customHeight="1" outlineLevel="1" x14ac:dyDescent="0.2">
      <c r="A110" s="11"/>
      <c r="B110" s="15">
        <v>1390</v>
      </c>
      <c r="C110" s="15">
        <v>1790</v>
      </c>
      <c r="D110" s="12">
        <v>4706</v>
      </c>
      <c r="E110" s="13" t="s">
        <v>453</v>
      </c>
      <c r="F110" s="13" t="s">
        <v>454</v>
      </c>
      <c r="G110" s="13" t="s">
        <v>56</v>
      </c>
      <c r="H110" s="13"/>
      <c r="I110" s="12">
        <v>2025</v>
      </c>
      <c r="J110" s="13" t="s">
        <v>455</v>
      </c>
      <c r="K110" s="12">
        <v>9785961469073</v>
      </c>
      <c r="L110" s="13" t="s">
        <v>456</v>
      </c>
      <c r="M110" s="12">
        <v>452</v>
      </c>
      <c r="N110" s="14">
        <v>0.84</v>
      </c>
      <c r="O110" s="12">
        <v>170</v>
      </c>
      <c r="P110" s="12">
        <v>27</v>
      </c>
      <c r="Q110" s="12">
        <v>5</v>
      </c>
      <c r="R110" s="13" t="s">
        <v>94</v>
      </c>
      <c r="S110" s="13"/>
      <c r="T110" s="15">
        <v>1000</v>
      </c>
      <c r="U110" s="13" t="s">
        <v>52</v>
      </c>
      <c r="V110" s="13" t="s">
        <v>64</v>
      </c>
      <c r="W110" s="12">
        <v>10</v>
      </c>
      <c r="X110" s="33" t="str">
        <f>HYPERLINK("https://www.alpinabook.ru/catalog/book-investitsii-i-treyding","ссылка на книгу")</f>
        <v>ссылка на книгу</v>
      </c>
      <c r="Y110" s="34" t="str">
        <f>HYPERLINK("https://api-enni.alpina.ru/FilePrivilegesApproval/152","https://api-enni.alpina.ru/FilePrivilegesApproval/152")</f>
        <v>https://api-enni.alpina.ru/FilePrivilegesApproval/152</v>
      </c>
      <c r="Z110" s="13" t="s">
        <v>282</v>
      </c>
      <c r="AT110" s="1">
        <f t="shared" si="10"/>
        <v>0</v>
      </c>
      <c r="AU110" s="1">
        <f t="shared" si="11"/>
        <v>0</v>
      </c>
      <c r="AV110" s="1">
        <f t="shared" si="12"/>
        <v>0</v>
      </c>
      <c r="AW110" s="1">
        <f t="shared" si="13"/>
        <v>0</v>
      </c>
      <c r="AX110" s="1">
        <f t="shared" si="14"/>
        <v>0</v>
      </c>
    </row>
    <row r="111" spans="1:50" s="1" customFormat="1" ht="24.95" customHeight="1" outlineLevel="1" x14ac:dyDescent="0.2">
      <c r="A111" s="11"/>
      <c r="B111" s="12">
        <v>690</v>
      </c>
      <c r="C111" s="12">
        <v>990</v>
      </c>
      <c r="D111" s="12">
        <v>12774</v>
      </c>
      <c r="E111" s="13" t="s">
        <v>457</v>
      </c>
      <c r="F111" s="13" t="s">
        <v>458</v>
      </c>
      <c r="G111" s="13" t="s">
        <v>56</v>
      </c>
      <c r="H111" s="13" t="s">
        <v>40</v>
      </c>
      <c r="I111" s="12">
        <v>2025</v>
      </c>
      <c r="J111" s="13" t="s">
        <v>459</v>
      </c>
      <c r="K111" s="12">
        <v>9785961440980</v>
      </c>
      <c r="L111" s="13" t="s">
        <v>460</v>
      </c>
      <c r="M111" s="12">
        <v>246</v>
      </c>
      <c r="N111" s="14">
        <v>0.5</v>
      </c>
      <c r="O111" s="12">
        <v>168</v>
      </c>
      <c r="P111" s="12">
        <v>241</v>
      </c>
      <c r="Q111" s="12">
        <v>8</v>
      </c>
      <c r="R111" s="13" t="s">
        <v>94</v>
      </c>
      <c r="S111" s="13"/>
      <c r="T111" s="15">
        <v>1000</v>
      </c>
      <c r="U111" s="13" t="s">
        <v>52</v>
      </c>
      <c r="V111" s="13" t="s">
        <v>64</v>
      </c>
      <c r="W111" s="12">
        <v>10</v>
      </c>
      <c r="X111" s="33" t="str">
        <f>HYPERLINK("https://www.alpinabook.ru/catalog/book-iskusstvo-myagkogo-vliyaniya","ссылка на книгу")</f>
        <v>ссылка на книгу</v>
      </c>
      <c r="Y111" s="34" t="str">
        <f>HYPERLINK("https://api-enni.alpina.ru/FilePrivilegesApproval/75","https://api-enni.alpina.ru/FilePrivilegesApproval/75")</f>
        <v>https://api-enni.alpina.ru/FilePrivilegesApproval/75</v>
      </c>
      <c r="Z111" s="13" t="s">
        <v>77</v>
      </c>
      <c r="AT111" s="1">
        <f t="shared" si="10"/>
        <v>0</v>
      </c>
      <c r="AU111" s="1">
        <f t="shared" si="11"/>
        <v>0</v>
      </c>
      <c r="AV111" s="1">
        <f t="shared" si="12"/>
        <v>0</v>
      </c>
      <c r="AW111" s="1">
        <f t="shared" si="13"/>
        <v>0</v>
      </c>
      <c r="AX111" s="1">
        <f t="shared" si="14"/>
        <v>0</v>
      </c>
    </row>
    <row r="112" spans="1:50" s="1" customFormat="1" ht="24.95" customHeight="1" outlineLevel="1" x14ac:dyDescent="0.2">
      <c r="A112" s="11"/>
      <c r="B112" s="12">
        <v>340</v>
      </c>
      <c r="C112" s="12">
        <v>540</v>
      </c>
      <c r="D112" s="12">
        <v>11080</v>
      </c>
      <c r="E112" s="13" t="s">
        <v>461</v>
      </c>
      <c r="F112" s="13" t="s">
        <v>462</v>
      </c>
      <c r="G112" s="13" t="s">
        <v>56</v>
      </c>
      <c r="H112" s="13" t="s">
        <v>40</v>
      </c>
      <c r="I112" s="12">
        <v>2025</v>
      </c>
      <c r="J112" s="13" t="s">
        <v>463</v>
      </c>
      <c r="K112" s="12">
        <v>9785961411751</v>
      </c>
      <c r="L112" s="13" t="s">
        <v>464</v>
      </c>
      <c r="M112" s="12">
        <v>400</v>
      </c>
      <c r="N112" s="14">
        <v>0.26</v>
      </c>
      <c r="O112" s="12">
        <v>120</v>
      </c>
      <c r="P112" s="12">
        <v>170</v>
      </c>
      <c r="Q112" s="12">
        <v>28</v>
      </c>
      <c r="R112" s="13" t="s">
        <v>75</v>
      </c>
      <c r="S112" s="13" t="s">
        <v>253</v>
      </c>
      <c r="T112" s="15">
        <v>3000</v>
      </c>
      <c r="U112" s="13" t="s">
        <v>44</v>
      </c>
      <c r="V112" s="13" t="s">
        <v>64</v>
      </c>
      <c r="W112" s="12">
        <v>10</v>
      </c>
      <c r="X112" s="33" t="str">
        <f>HYPERLINK("https://www.alpinabook.ru/catalog/book-iskusstvo-sistemnogo-myshleniya","ссылка на книгу")</f>
        <v>ссылка на книгу</v>
      </c>
      <c r="Y112" s="34" t="str">
        <f>HYPERLINK("https://api-enni.alpina.ru/FilePrivilegesApproval/152","https://api-enni.alpina.ru/FilePrivilegesApproval/152")</f>
        <v>https://api-enni.alpina.ru/FilePrivilegesApproval/152</v>
      </c>
      <c r="Z112" s="13" t="s">
        <v>308</v>
      </c>
      <c r="AT112" s="1">
        <f t="shared" si="10"/>
        <v>0</v>
      </c>
      <c r="AU112" s="1">
        <f t="shared" si="11"/>
        <v>0</v>
      </c>
      <c r="AV112" s="1">
        <f t="shared" si="12"/>
        <v>0</v>
      </c>
      <c r="AW112" s="1">
        <f t="shared" si="13"/>
        <v>0</v>
      </c>
      <c r="AX112" s="1">
        <f t="shared" si="14"/>
        <v>0</v>
      </c>
    </row>
    <row r="113" spans="1:50" s="1" customFormat="1" ht="24.95" customHeight="1" outlineLevel="1" x14ac:dyDescent="0.2">
      <c r="A113" s="11"/>
      <c r="B113" s="12">
        <v>990</v>
      </c>
      <c r="C113" s="15">
        <v>1390</v>
      </c>
      <c r="D113" s="12">
        <v>1747</v>
      </c>
      <c r="E113" s="13" t="s">
        <v>291</v>
      </c>
      <c r="F113" s="13" t="s">
        <v>465</v>
      </c>
      <c r="G113" s="13" t="s">
        <v>39</v>
      </c>
      <c r="H113" s="13" t="s">
        <v>40</v>
      </c>
      <c r="I113" s="12">
        <v>2025</v>
      </c>
      <c r="J113" s="13" t="s">
        <v>466</v>
      </c>
      <c r="K113" s="12">
        <v>9785961465372</v>
      </c>
      <c r="L113" s="13" t="s">
        <v>467</v>
      </c>
      <c r="M113" s="12">
        <v>808</v>
      </c>
      <c r="N113" s="14">
        <v>0.99</v>
      </c>
      <c r="O113" s="12">
        <v>150</v>
      </c>
      <c r="P113" s="12">
        <v>210</v>
      </c>
      <c r="Q113" s="12">
        <v>3</v>
      </c>
      <c r="R113" s="13" t="s">
        <v>43</v>
      </c>
      <c r="S113" s="13"/>
      <c r="T113" s="15">
        <v>5000</v>
      </c>
      <c r="U113" s="13" t="s">
        <v>52</v>
      </c>
      <c r="V113" s="13" t="s">
        <v>45</v>
      </c>
      <c r="W113" s="12">
        <v>10</v>
      </c>
      <c r="X113" s="33" t="str">
        <f>HYPERLINK("https://www.alpinabook.ru/catalog/book-istochnik-2-toma","ссылка на книгу")</f>
        <v>ссылка на книгу</v>
      </c>
      <c r="Y113" s="34" t="str">
        <f>HYPERLINK("https://api-enni.alpina.ru/FilePrivilegesApproval/2","https://api-enni.alpina.ru/FilePrivilegesApproval/2")</f>
        <v>https://api-enni.alpina.ru/FilePrivilegesApproval/2</v>
      </c>
      <c r="Z113" s="13"/>
      <c r="AT113" s="1">
        <f t="shared" si="10"/>
        <v>0</v>
      </c>
      <c r="AU113" s="1">
        <f t="shared" si="11"/>
        <v>0</v>
      </c>
      <c r="AV113" s="1">
        <f t="shared" si="12"/>
        <v>0</v>
      </c>
      <c r="AW113" s="1">
        <f t="shared" si="13"/>
        <v>0</v>
      </c>
      <c r="AX113" s="1">
        <f t="shared" si="14"/>
        <v>0</v>
      </c>
    </row>
    <row r="114" spans="1:50" s="1" customFormat="1" ht="24.95" customHeight="1" outlineLevel="1" x14ac:dyDescent="0.2">
      <c r="A114" s="11"/>
      <c r="B114" s="12">
        <v>440</v>
      </c>
      <c r="C114" s="12">
        <v>440</v>
      </c>
      <c r="D114" s="12">
        <v>27634</v>
      </c>
      <c r="E114" s="13" t="s">
        <v>468</v>
      </c>
      <c r="F114" s="13" t="s">
        <v>469</v>
      </c>
      <c r="G114" s="13" t="s">
        <v>56</v>
      </c>
      <c r="H114" s="13" t="s">
        <v>40</v>
      </c>
      <c r="I114" s="12">
        <v>2025</v>
      </c>
      <c r="J114" s="13" t="s">
        <v>470</v>
      </c>
      <c r="K114" s="12">
        <v>9785961485905</v>
      </c>
      <c r="L114" s="13" t="s">
        <v>471</v>
      </c>
      <c r="M114" s="12">
        <v>164</v>
      </c>
      <c r="N114" s="14">
        <v>0.21</v>
      </c>
      <c r="O114" s="12">
        <v>140</v>
      </c>
      <c r="P114" s="12">
        <v>210</v>
      </c>
      <c r="Q114" s="12">
        <v>10</v>
      </c>
      <c r="R114" s="13" t="s">
        <v>43</v>
      </c>
      <c r="S114" s="13"/>
      <c r="T114" s="15">
        <v>1000</v>
      </c>
      <c r="U114" s="13" t="s">
        <v>44</v>
      </c>
      <c r="V114" s="13" t="s">
        <v>64</v>
      </c>
      <c r="W114" s="12">
        <v>10</v>
      </c>
      <c r="X114" s="33" t="str">
        <f>HYPERLINK("https://www.alpinabook.ru/catalog/book-kak-lgat-pri-pomoshchi-statistiki","ссылка на книгу")</f>
        <v>ссылка на книгу</v>
      </c>
      <c r="Y114" s="34" t="str">
        <f>HYPERLINK("https://api-enni.alpina.ru/FilePrivilegesApproval/125","https://api-enni.alpina.ru/FilePrivilegesApproval/125")</f>
        <v>https://api-enni.alpina.ru/FilePrivilegesApproval/125</v>
      </c>
      <c r="Z114" s="13" t="s">
        <v>431</v>
      </c>
      <c r="AT114" s="1">
        <f t="shared" si="10"/>
        <v>0</v>
      </c>
      <c r="AU114" s="1">
        <f t="shared" si="11"/>
        <v>0</v>
      </c>
      <c r="AV114" s="1">
        <f t="shared" si="12"/>
        <v>0</v>
      </c>
      <c r="AW114" s="1">
        <f t="shared" si="13"/>
        <v>0</v>
      </c>
      <c r="AX114" s="1">
        <f t="shared" si="14"/>
        <v>0</v>
      </c>
    </row>
    <row r="115" spans="1:50" s="1" customFormat="1" ht="24.95" customHeight="1" outlineLevel="1" x14ac:dyDescent="0.2">
      <c r="A115" s="11"/>
      <c r="B115" s="12">
        <v>290</v>
      </c>
      <c r="C115" s="12">
        <v>440</v>
      </c>
      <c r="D115" s="12">
        <v>11082</v>
      </c>
      <c r="E115" s="13" t="s">
        <v>472</v>
      </c>
      <c r="F115" s="13" t="s">
        <v>473</v>
      </c>
      <c r="G115" s="13" t="s">
        <v>56</v>
      </c>
      <c r="H115" s="13" t="s">
        <v>40</v>
      </c>
      <c r="I115" s="12">
        <v>2025</v>
      </c>
      <c r="J115" s="13" t="s">
        <v>474</v>
      </c>
      <c r="K115" s="12">
        <v>9785961411799</v>
      </c>
      <c r="L115" s="13" t="s">
        <v>475</v>
      </c>
      <c r="M115" s="12">
        <v>224</v>
      </c>
      <c r="N115" s="14">
        <v>0.15</v>
      </c>
      <c r="O115" s="12">
        <v>115</v>
      </c>
      <c r="P115" s="12">
        <v>165</v>
      </c>
      <c r="Q115" s="12">
        <v>14</v>
      </c>
      <c r="R115" s="13" t="s">
        <v>75</v>
      </c>
      <c r="S115" s="13" t="s">
        <v>253</v>
      </c>
      <c r="T115" s="15">
        <v>30000</v>
      </c>
      <c r="U115" s="13" t="s">
        <v>44</v>
      </c>
      <c r="V115" s="13" t="s">
        <v>64</v>
      </c>
      <c r="W115" s="12">
        <v>10</v>
      </c>
      <c r="X115" s="33" t="str">
        <f>HYPERLINK("https://www.alpinabook.ru/catalog/book-kak-razgovarivat-s-kem-ugodno-kogda-ugodno-i-gde-ugodno","ссылка на книгу")</f>
        <v>ссылка на книгу</v>
      </c>
      <c r="Y115" s="34" t="str">
        <f>HYPERLINK("https://api-enni.alpina.ru/FilePrivilegesApproval/152","https://api-enni.alpina.ru/FilePrivilegesApproval/152")</f>
        <v>https://api-enni.alpina.ru/FilePrivilegesApproval/152</v>
      </c>
      <c r="Z115" s="13" t="s">
        <v>405</v>
      </c>
      <c r="AT115" s="1">
        <f t="shared" si="10"/>
        <v>0</v>
      </c>
      <c r="AU115" s="1">
        <f t="shared" si="11"/>
        <v>0</v>
      </c>
      <c r="AV115" s="1">
        <f t="shared" si="12"/>
        <v>0</v>
      </c>
      <c r="AW115" s="1">
        <f t="shared" si="13"/>
        <v>0</v>
      </c>
      <c r="AX115" s="1">
        <f t="shared" si="14"/>
        <v>0</v>
      </c>
    </row>
    <row r="116" spans="1:50" s="1" customFormat="1" ht="24.95" customHeight="1" outlineLevel="1" x14ac:dyDescent="0.2">
      <c r="A116" s="11"/>
      <c r="B116" s="12">
        <v>990</v>
      </c>
      <c r="C116" s="12">
        <v>990</v>
      </c>
      <c r="D116" s="12">
        <v>11041</v>
      </c>
      <c r="E116" s="13" t="s">
        <v>476</v>
      </c>
      <c r="F116" s="13" t="s">
        <v>477</v>
      </c>
      <c r="G116" s="13" t="s">
        <v>56</v>
      </c>
      <c r="H116" s="13" t="s">
        <v>40</v>
      </c>
      <c r="I116" s="12">
        <v>2025</v>
      </c>
      <c r="J116" s="13" t="s">
        <v>478</v>
      </c>
      <c r="K116" s="12">
        <v>9785961419047</v>
      </c>
      <c r="L116" s="13" t="s">
        <v>479</v>
      </c>
      <c r="M116" s="12">
        <v>438</v>
      </c>
      <c r="N116" s="14">
        <v>0.68</v>
      </c>
      <c r="O116" s="12">
        <v>163</v>
      </c>
      <c r="P116" s="12">
        <v>235</v>
      </c>
      <c r="Q116" s="12">
        <v>5</v>
      </c>
      <c r="R116" s="13" t="s">
        <v>94</v>
      </c>
      <c r="S116" s="13"/>
      <c r="T116" s="15">
        <v>1000</v>
      </c>
      <c r="U116" s="13" t="s">
        <v>44</v>
      </c>
      <c r="V116" s="13" t="s">
        <v>59</v>
      </c>
      <c r="W116" s="12">
        <v>10</v>
      </c>
      <c r="X116" s="33" t="str">
        <f>HYPERLINK("https://www.alpinabook.ru/catalog/book-kak-sozdat-krutoy-reklamnyy-tekst","ссылка на книгу")</f>
        <v>ссылка на книгу</v>
      </c>
      <c r="Y116" s="34" t="str">
        <f>HYPERLINK("https://api-enni.alpina.ru/FilePrivilegesApproval/80","https://api-enni.alpina.ru/FilePrivilegesApproval/80")</f>
        <v>https://api-enni.alpina.ru/FilePrivilegesApproval/80</v>
      </c>
      <c r="Z116" s="13" t="s">
        <v>405</v>
      </c>
      <c r="AT116" s="1">
        <f t="shared" si="10"/>
        <v>0</v>
      </c>
      <c r="AU116" s="1">
        <f t="shared" si="11"/>
        <v>0</v>
      </c>
      <c r="AV116" s="1">
        <f t="shared" si="12"/>
        <v>0</v>
      </c>
      <c r="AW116" s="1">
        <f t="shared" si="13"/>
        <v>0</v>
      </c>
      <c r="AX116" s="1">
        <f t="shared" si="14"/>
        <v>0</v>
      </c>
    </row>
    <row r="117" spans="1:50" s="1" customFormat="1" ht="24.95" customHeight="1" outlineLevel="1" x14ac:dyDescent="0.2">
      <c r="A117" s="11"/>
      <c r="B117" s="12">
        <v>290</v>
      </c>
      <c r="C117" s="12">
        <v>540</v>
      </c>
      <c r="D117" s="12">
        <v>29087</v>
      </c>
      <c r="E117" s="13" t="s">
        <v>418</v>
      </c>
      <c r="F117" s="13" t="s">
        <v>480</v>
      </c>
      <c r="G117" s="13" t="s">
        <v>56</v>
      </c>
      <c r="H117" s="13" t="s">
        <v>40</v>
      </c>
      <c r="I117" s="12">
        <v>2025</v>
      </c>
      <c r="J117" s="13" t="s">
        <v>481</v>
      </c>
      <c r="K117" s="12">
        <v>9785961491388</v>
      </c>
      <c r="L117" s="13" t="s">
        <v>482</v>
      </c>
      <c r="M117" s="12">
        <v>336</v>
      </c>
      <c r="N117" s="14">
        <v>0.22</v>
      </c>
      <c r="O117" s="12">
        <v>120</v>
      </c>
      <c r="P117" s="12">
        <v>170</v>
      </c>
      <c r="Q117" s="12">
        <v>20</v>
      </c>
      <c r="R117" s="13" t="s">
        <v>75</v>
      </c>
      <c r="S117" s="13" t="s">
        <v>253</v>
      </c>
      <c r="T117" s="15">
        <v>2000</v>
      </c>
      <c r="U117" s="13" t="s">
        <v>44</v>
      </c>
      <c r="V117" s="13" t="s">
        <v>64</v>
      </c>
      <c r="W117" s="12">
        <v>10</v>
      </c>
      <c r="X117" s="33" t="str">
        <f>HYPERLINK("https://www.alpinabook.ru/catalog/book-kak-stat-bogatym","ссылка на книгу")</f>
        <v>ссылка на книгу</v>
      </c>
      <c r="Y117" s="34" t="str">
        <f>HYPERLINK("https://api-enni.alpina.ru/FilePrivilegesApproval/315","https://api-enni.alpina.ru/FilePrivilegesApproval/315")</f>
        <v>https://api-enni.alpina.ru/FilePrivilegesApproval/315</v>
      </c>
      <c r="Z117" s="13" t="s">
        <v>142</v>
      </c>
      <c r="AT117" s="1">
        <f t="shared" si="10"/>
        <v>0</v>
      </c>
      <c r="AU117" s="1">
        <f t="shared" si="11"/>
        <v>0</v>
      </c>
      <c r="AV117" s="1">
        <f t="shared" si="12"/>
        <v>0</v>
      </c>
      <c r="AW117" s="1">
        <f t="shared" si="13"/>
        <v>0</v>
      </c>
      <c r="AX117" s="1">
        <f t="shared" si="14"/>
        <v>0</v>
      </c>
    </row>
    <row r="118" spans="1:50" s="1" customFormat="1" ht="24.95" customHeight="1" outlineLevel="1" x14ac:dyDescent="0.2">
      <c r="A118" s="11"/>
      <c r="B118" s="12">
        <v>540</v>
      </c>
      <c r="C118" s="12">
        <v>790</v>
      </c>
      <c r="D118" s="12">
        <v>6976</v>
      </c>
      <c r="E118" s="13" t="s">
        <v>418</v>
      </c>
      <c r="F118" s="13" t="s">
        <v>483</v>
      </c>
      <c r="G118" s="13" t="s">
        <v>56</v>
      </c>
      <c r="H118" s="13" t="s">
        <v>40</v>
      </c>
      <c r="I118" s="12">
        <v>2017</v>
      </c>
      <c r="J118" s="13" t="s">
        <v>484</v>
      </c>
      <c r="K118" s="12">
        <v>9785961461046</v>
      </c>
      <c r="L118" s="13" t="s">
        <v>485</v>
      </c>
      <c r="M118" s="12">
        <v>240</v>
      </c>
      <c r="N118" s="14">
        <v>0.52</v>
      </c>
      <c r="O118" s="12">
        <v>171</v>
      </c>
      <c r="P118" s="12">
        <v>241</v>
      </c>
      <c r="Q118" s="12">
        <v>5</v>
      </c>
      <c r="R118" s="13" t="s">
        <v>94</v>
      </c>
      <c r="S118" s="13"/>
      <c r="T118" s="15">
        <v>1000</v>
      </c>
      <c r="U118" s="13" t="s">
        <v>52</v>
      </c>
      <c r="V118" s="13" t="s">
        <v>64</v>
      </c>
      <c r="W118" s="12">
        <v>10</v>
      </c>
      <c r="X118" s="33" t="str">
        <f>HYPERLINK("https://www.alpinabook.ru/catalog/book-kak-stat-bogatym","ссылка на книгу")</f>
        <v>ссылка на книгу</v>
      </c>
      <c r="Y118" s="34" t="str">
        <f>HYPERLINK("https://api-enni.alpina.ru/FilePrivilegesApproval/2","https://api-enni.alpina.ru/FilePrivilegesApproval/2")</f>
        <v>https://api-enni.alpina.ru/FilePrivilegesApproval/2</v>
      </c>
      <c r="Z118" s="13" t="s">
        <v>77</v>
      </c>
      <c r="AT118" s="1">
        <f t="shared" si="10"/>
        <v>0</v>
      </c>
      <c r="AU118" s="1">
        <f t="shared" si="11"/>
        <v>0</v>
      </c>
      <c r="AV118" s="1">
        <f t="shared" si="12"/>
        <v>0</v>
      </c>
      <c r="AW118" s="1">
        <f t="shared" si="13"/>
        <v>0</v>
      </c>
      <c r="AX118" s="1">
        <f t="shared" si="14"/>
        <v>0</v>
      </c>
    </row>
    <row r="119" spans="1:50" s="1" customFormat="1" ht="24.95" customHeight="1" outlineLevel="1" x14ac:dyDescent="0.2">
      <c r="A119" s="11"/>
      <c r="B119" s="12">
        <v>590</v>
      </c>
      <c r="C119" s="12">
        <v>840</v>
      </c>
      <c r="D119" s="12">
        <v>5188</v>
      </c>
      <c r="E119" s="13" t="s">
        <v>291</v>
      </c>
      <c r="F119" s="13" t="s">
        <v>486</v>
      </c>
      <c r="G119" s="13" t="s">
        <v>56</v>
      </c>
      <c r="H119" s="13" t="s">
        <v>40</v>
      </c>
      <c r="I119" s="12">
        <v>2018</v>
      </c>
      <c r="J119" s="13" t="s">
        <v>487</v>
      </c>
      <c r="K119" s="12">
        <v>9785961466935</v>
      </c>
      <c r="L119" s="13" t="s">
        <v>488</v>
      </c>
      <c r="M119" s="12">
        <v>422</v>
      </c>
      <c r="N119" s="14">
        <v>0.64</v>
      </c>
      <c r="O119" s="12">
        <v>160</v>
      </c>
      <c r="P119" s="12">
        <v>220</v>
      </c>
      <c r="Q119" s="12">
        <v>5</v>
      </c>
      <c r="R119" s="13" t="s">
        <v>43</v>
      </c>
      <c r="S119" s="13"/>
      <c r="T119" s="15">
        <v>1000</v>
      </c>
      <c r="U119" s="13" t="s">
        <v>52</v>
      </c>
      <c r="V119" s="13" t="s">
        <v>64</v>
      </c>
      <c r="W119" s="12">
        <v>10</v>
      </c>
      <c r="X119" s="33" t="str">
        <f>HYPERLINK("https://www.alpinabook.ru/catalog/book-kapitalizm","ссылка на книгу")</f>
        <v>ссылка на книгу</v>
      </c>
      <c r="Y119" s="34" t="str">
        <f>HYPERLINK("https://api-enni.alpina.ru/FilePrivilegesApproval/2","https://api-enni.alpina.ru/FilePrivilegesApproval/2")</f>
        <v>https://api-enni.alpina.ru/FilePrivilegesApproval/2</v>
      </c>
      <c r="Z119" s="13" t="s">
        <v>282</v>
      </c>
      <c r="AT119" s="1">
        <f t="shared" si="10"/>
        <v>0</v>
      </c>
      <c r="AU119" s="1">
        <f t="shared" si="11"/>
        <v>0</v>
      </c>
      <c r="AV119" s="1">
        <f t="shared" si="12"/>
        <v>0</v>
      </c>
      <c r="AW119" s="1">
        <f t="shared" si="13"/>
        <v>0</v>
      </c>
      <c r="AX119" s="1">
        <f t="shared" si="14"/>
        <v>0</v>
      </c>
    </row>
    <row r="120" spans="1:50" s="1" customFormat="1" ht="24.95" customHeight="1" outlineLevel="1" x14ac:dyDescent="0.2">
      <c r="A120" s="11"/>
      <c r="B120" s="12">
        <v>590</v>
      </c>
      <c r="C120" s="12">
        <v>840</v>
      </c>
      <c r="D120" s="12">
        <v>8510</v>
      </c>
      <c r="E120" s="13" t="s">
        <v>489</v>
      </c>
      <c r="F120" s="13" t="s">
        <v>490</v>
      </c>
      <c r="G120" s="13" t="s">
        <v>56</v>
      </c>
      <c r="H120" s="13" t="s">
        <v>40</v>
      </c>
      <c r="I120" s="12">
        <v>2025</v>
      </c>
      <c r="J120" s="13" t="s">
        <v>491</v>
      </c>
      <c r="K120" s="12">
        <v>9785961468021</v>
      </c>
      <c r="L120" s="13" t="s">
        <v>492</v>
      </c>
      <c r="M120" s="12">
        <v>336</v>
      </c>
      <c r="N120" s="14">
        <v>0.45</v>
      </c>
      <c r="O120" s="12">
        <v>155</v>
      </c>
      <c r="P120" s="12">
        <v>217</v>
      </c>
      <c r="Q120" s="12">
        <v>5</v>
      </c>
      <c r="R120" s="13" t="s">
        <v>43</v>
      </c>
      <c r="S120" s="13"/>
      <c r="T120" s="15">
        <v>1000</v>
      </c>
      <c r="U120" s="13" t="s">
        <v>52</v>
      </c>
      <c r="V120" s="13" t="s">
        <v>64</v>
      </c>
      <c r="W120" s="12">
        <v>10</v>
      </c>
      <c r="X120" s="33" t="str">
        <f>HYPERLINK("https://www.alpinabook.ru/catalog/book-kniga-o-poteryannom-vremeni","ссылка на книгу")</f>
        <v>ссылка на книгу</v>
      </c>
      <c r="Y120" s="34" t="str">
        <f>HYPERLINK("https://api-enni.alpina.ru/FilePrivilegesApproval/2","https://api-enni.alpina.ru/FilePrivilegesApproval/2")</f>
        <v>https://api-enni.alpina.ru/FilePrivilegesApproval/2</v>
      </c>
      <c r="Z120" s="13" t="s">
        <v>65</v>
      </c>
      <c r="AT120" s="1">
        <f t="shared" si="10"/>
        <v>0</v>
      </c>
      <c r="AU120" s="1">
        <f t="shared" si="11"/>
        <v>0</v>
      </c>
      <c r="AV120" s="1">
        <f t="shared" si="12"/>
        <v>0</v>
      </c>
      <c r="AW120" s="1">
        <f t="shared" si="13"/>
        <v>0</v>
      </c>
      <c r="AX120" s="1">
        <f t="shared" si="14"/>
        <v>0</v>
      </c>
    </row>
    <row r="121" spans="1:50" s="1" customFormat="1" ht="24.95" customHeight="1" outlineLevel="1" x14ac:dyDescent="0.2">
      <c r="A121" s="11"/>
      <c r="B121" s="12">
        <v>890</v>
      </c>
      <c r="C121" s="15">
        <v>1290</v>
      </c>
      <c r="D121" s="12">
        <v>17403</v>
      </c>
      <c r="E121" s="13" t="s">
        <v>493</v>
      </c>
      <c r="F121" s="13" t="s">
        <v>494</v>
      </c>
      <c r="G121" s="13" t="s">
        <v>86</v>
      </c>
      <c r="H121" s="13" t="s">
        <v>40</v>
      </c>
      <c r="I121" s="12">
        <v>2024</v>
      </c>
      <c r="J121" s="13" t="s">
        <v>495</v>
      </c>
      <c r="K121" s="12">
        <v>9785916719611</v>
      </c>
      <c r="L121" s="13" t="s">
        <v>496</v>
      </c>
      <c r="M121" s="12">
        <v>484</v>
      </c>
      <c r="N121" s="14">
        <v>0.73</v>
      </c>
      <c r="O121" s="12">
        <v>146</v>
      </c>
      <c r="P121" s="12">
        <v>216</v>
      </c>
      <c r="Q121" s="12">
        <v>8</v>
      </c>
      <c r="R121" s="13" t="s">
        <v>43</v>
      </c>
      <c r="S121" s="13"/>
      <c r="T121" s="15">
        <v>1500</v>
      </c>
      <c r="U121" s="13" t="s">
        <v>52</v>
      </c>
      <c r="V121" s="13" t="s">
        <v>45</v>
      </c>
      <c r="W121" s="12">
        <v>10</v>
      </c>
      <c r="X121" s="33" t="str">
        <f>HYPERLINK("https://www.alpinabook.ru/catalog/book-kratkaya-istoriya-evropy","ссылка на книгу")</f>
        <v>ссылка на книгу</v>
      </c>
      <c r="Y121" s="34" t="str">
        <f>HYPERLINK("https://api-enni.alpina.ru/FilePrivilegesApproval/149","https://api-enni.alpina.ru/FilePrivilegesApproval/149")</f>
        <v>https://api-enni.alpina.ru/FilePrivilegesApproval/149</v>
      </c>
      <c r="Z121" s="13" t="s">
        <v>77</v>
      </c>
      <c r="AT121" s="1">
        <f t="shared" si="10"/>
        <v>0</v>
      </c>
      <c r="AU121" s="1">
        <f t="shared" si="11"/>
        <v>0</v>
      </c>
      <c r="AV121" s="1">
        <f t="shared" si="12"/>
        <v>0</v>
      </c>
      <c r="AW121" s="1">
        <f t="shared" si="13"/>
        <v>0</v>
      </c>
      <c r="AX121" s="1">
        <f t="shared" si="14"/>
        <v>0</v>
      </c>
    </row>
    <row r="122" spans="1:50" s="1" customFormat="1" ht="24.95" customHeight="1" outlineLevel="1" x14ac:dyDescent="0.2">
      <c r="A122" s="11"/>
      <c r="B122" s="12">
        <v>790</v>
      </c>
      <c r="C122" s="15">
        <v>1190</v>
      </c>
      <c r="D122" s="12">
        <v>27751</v>
      </c>
      <c r="E122" s="13" t="s">
        <v>497</v>
      </c>
      <c r="F122" s="13" t="s">
        <v>498</v>
      </c>
      <c r="G122" s="13" t="s">
        <v>86</v>
      </c>
      <c r="H122" s="13"/>
      <c r="I122" s="12">
        <v>2025</v>
      </c>
      <c r="J122" s="13" t="s">
        <v>499</v>
      </c>
      <c r="K122" s="12">
        <v>9785001399568</v>
      </c>
      <c r="L122" s="13" t="s">
        <v>500</v>
      </c>
      <c r="M122" s="12">
        <v>454</v>
      </c>
      <c r="N122" s="14">
        <v>0.56000000000000005</v>
      </c>
      <c r="O122" s="12">
        <v>140</v>
      </c>
      <c r="P122" s="12">
        <v>210</v>
      </c>
      <c r="Q122" s="12">
        <v>6</v>
      </c>
      <c r="R122" s="13" t="s">
        <v>43</v>
      </c>
      <c r="S122" s="13"/>
      <c r="T122" s="15">
        <v>1000</v>
      </c>
      <c r="U122" s="13" t="s">
        <v>44</v>
      </c>
      <c r="V122" s="13" t="s">
        <v>45</v>
      </c>
      <c r="W122" s="12">
        <v>10</v>
      </c>
      <c r="X122" s="33" t="str">
        <f>HYPERLINK("https://www.alpinabook.ru/catalog/book-kratkaya-istoriya-nasekomykh","ссылка на книгу")</f>
        <v>ссылка на книгу</v>
      </c>
      <c r="Y122" s="34" t="str">
        <f>HYPERLINK("https://api-enni.alpina.ru/FilePrivilegesApproval/190","https://api-enni.alpina.ru/FilePrivilegesApproval/190")</f>
        <v>https://api-enni.alpina.ru/FilePrivilegesApproval/190</v>
      </c>
      <c r="Z122" s="13" t="s">
        <v>431</v>
      </c>
      <c r="AT122" s="1">
        <f t="shared" si="10"/>
        <v>0</v>
      </c>
      <c r="AU122" s="1">
        <f t="shared" si="11"/>
        <v>0</v>
      </c>
      <c r="AV122" s="1">
        <f t="shared" si="12"/>
        <v>0</v>
      </c>
      <c r="AW122" s="1">
        <f t="shared" si="13"/>
        <v>0</v>
      </c>
      <c r="AX122" s="1">
        <f t="shared" si="14"/>
        <v>0</v>
      </c>
    </row>
    <row r="123" spans="1:50" s="1" customFormat="1" ht="24.95" customHeight="1" outlineLevel="1" x14ac:dyDescent="0.2">
      <c r="A123" s="11"/>
      <c r="B123" s="12">
        <v>790</v>
      </c>
      <c r="C123" s="15">
        <v>1190</v>
      </c>
      <c r="D123" s="12">
        <v>19300</v>
      </c>
      <c r="E123" s="13" t="s">
        <v>501</v>
      </c>
      <c r="F123" s="13" t="s">
        <v>502</v>
      </c>
      <c r="G123" s="13" t="s">
        <v>56</v>
      </c>
      <c r="H123" s="13" t="s">
        <v>40</v>
      </c>
      <c r="I123" s="12">
        <v>2025</v>
      </c>
      <c r="J123" s="13" t="s">
        <v>503</v>
      </c>
      <c r="K123" s="12">
        <v>9785961480412</v>
      </c>
      <c r="L123" s="13" t="s">
        <v>504</v>
      </c>
      <c r="M123" s="12">
        <v>206</v>
      </c>
      <c r="N123" s="14">
        <v>0.36</v>
      </c>
      <c r="O123" s="12">
        <v>160</v>
      </c>
      <c r="P123" s="12">
        <v>220</v>
      </c>
      <c r="Q123" s="12">
        <v>6</v>
      </c>
      <c r="R123" s="13" t="s">
        <v>43</v>
      </c>
      <c r="S123" s="13" t="s">
        <v>505</v>
      </c>
      <c r="T123" s="15">
        <v>1000</v>
      </c>
      <c r="U123" s="13" t="s">
        <v>52</v>
      </c>
      <c r="V123" s="13" t="s">
        <v>64</v>
      </c>
      <c r="W123" s="12">
        <v>10</v>
      </c>
      <c r="X123" s="33" t="str">
        <f>HYPERLINK("https://www.alpinabook.ru/catalog/book-kreativnost","ссылка на книгу")</f>
        <v>ссылка на книгу</v>
      </c>
      <c r="Y123" s="34" t="str">
        <f>HYPERLINK("https://api-enni.alpina.ru/FilePrivilegesApproval/156","https://api-enni.alpina.ru/FilePrivilegesApproval/156")</f>
        <v>https://api-enni.alpina.ru/FilePrivilegesApproval/156</v>
      </c>
      <c r="Z123" s="13" t="s">
        <v>282</v>
      </c>
      <c r="AT123" s="1">
        <f t="shared" si="10"/>
        <v>0</v>
      </c>
      <c r="AU123" s="1">
        <f t="shared" si="11"/>
        <v>0</v>
      </c>
      <c r="AV123" s="1">
        <f t="shared" si="12"/>
        <v>0</v>
      </c>
      <c r="AW123" s="1">
        <f t="shared" si="13"/>
        <v>0</v>
      </c>
      <c r="AX123" s="1">
        <f t="shared" si="14"/>
        <v>0</v>
      </c>
    </row>
    <row r="124" spans="1:50" s="1" customFormat="1" ht="24.95" customHeight="1" outlineLevel="1" x14ac:dyDescent="0.2">
      <c r="A124" s="11"/>
      <c r="B124" s="12">
        <v>840</v>
      </c>
      <c r="C124" s="15">
        <v>1290</v>
      </c>
      <c r="D124" s="12">
        <v>7904</v>
      </c>
      <c r="E124" s="13" t="s">
        <v>506</v>
      </c>
      <c r="F124" s="13" t="s">
        <v>507</v>
      </c>
      <c r="G124" s="13" t="s">
        <v>56</v>
      </c>
      <c r="H124" s="13" t="s">
        <v>40</v>
      </c>
      <c r="I124" s="12">
        <v>2025</v>
      </c>
      <c r="J124" s="13" t="s">
        <v>508</v>
      </c>
      <c r="K124" s="12">
        <v>9785961468588</v>
      </c>
      <c r="L124" s="13" t="s">
        <v>509</v>
      </c>
      <c r="M124" s="12">
        <v>336</v>
      </c>
      <c r="N124" s="14">
        <v>0.65</v>
      </c>
      <c r="O124" s="12">
        <v>171</v>
      </c>
      <c r="P124" s="12">
        <v>241</v>
      </c>
      <c r="Q124" s="12">
        <v>5</v>
      </c>
      <c r="R124" s="13" t="s">
        <v>94</v>
      </c>
      <c r="S124" s="13"/>
      <c r="T124" s="15">
        <v>1000</v>
      </c>
      <c r="U124" s="13" t="s">
        <v>52</v>
      </c>
      <c r="V124" s="13" t="s">
        <v>64</v>
      </c>
      <c r="W124" s="12">
        <v>10</v>
      </c>
      <c r="X124" s="33" t="str">
        <f>HYPERLINK("https://www.alpinabook.ru/catalog/book-liderstvo-na-vsekh-urovnyakh-berezhlivogo-proizvodstva","ссылка на книгу")</f>
        <v>ссылка на книгу</v>
      </c>
      <c r="Y124" s="34" t="str">
        <f>HYPERLINK("https://api-enni.alpina.ru/FilePrivilegesApproval/152","https://api-enni.alpina.ru/FilePrivilegesApproval/152")</f>
        <v>https://api-enni.alpina.ru/FilePrivilegesApproval/152</v>
      </c>
      <c r="Z124" s="13" t="s">
        <v>387</v>
      </c>
      <c r="AT124" s="1">
        <f t="shared" si="10"/>
        <v>0</v>
      </c>
      <c r="AU124" s="1">
        <f t="shared" si="11"/>
        <v>0</v>
      </c>
      <c r="AV124" s="1">
        <f t="shared" si="12"/>
        <v>0</v>
      </c>
      <c r="AW124" s="1">
        <f t="shared" si="13"/>
        <v>0</v>
      </c>
      <c r="AX124" s="1">
        <f t="shared" si="14"/>
        <v>0</v>
      </c>
    </row>
    <row r="125" spans="1:50" s="1" customFormat="1" ht="24.95" customHeight="1" outlineLevel="1" x14ac:dyDescent="0.2">
      <c r="A125" s="11"/>
      <c r="B125" s="12">
        <v>510</v>
      </c>
      <c r="C125" s="12">
        <v>790</v>
      </c>
      <c r="D125" s="12">
        <v>7709</v>
      </c>
      <c r="E125" s="13" t="s">
        <v>510</v>
      </c>
      <c r="F125" s="13" t="s">
        <v>511</v>
      </c>
      <c r="G125" s="13" t="s">
        <v>56</v>
      </c>
      <c r="H125" s="13"/>
      <c r="I125" s="12">
        <v>2025</v>
      </c>
      <c r="J125" s="13" t="s">
        <v>512</v>
      </c>
      <c r="K125" s="12">
        <v>9785961470192</v>
      </c>
      <c r="L125" s="13" t="s">
        <v>513</v>
      </c>
      <c r="M125" s="12">
        <v>184</v>
      </c>
      <c r="N125" s="14">
        <v>0.32</v>
      </c>
      <c r="O125" s="12">
        <v>150</v>
      </c>
      <c r="P125" s="12">
        <v>220</v>
      </c>
      <c r="Q125" s="12">
        <v>10</v>
      </c>
      <c r="R125" s="13" t="s">
        <v>43</v>
      </c>
      <c r="S125" s="13"/>
      <c r="T125" s="15">
        <v>1000</v>
      </c>
      <c r="U125" s="13" t="s">
        <v>52</v>
      </c>
      <c r="V125" s="13" t="s">
        <v>64</v>
      </c>
      <c r="W125" s="12">
        <v>10</v>
      </c>
      <c r="X125" s="33" t="str">
        <f>HYPERLINK("https://www.alpinabook.ru/catalog/book-lovushki-upravleniya","ссылка на книгу")</f>
        <v>ссылка на книгу</v>
      </c>
      <c r="Y125" s="34" t="str">
        <f>HYPERLINK("https://api-enni.alpina.ru/FilePrivilegesApproval/2","https://api-enni.alpina.ru/FilePrivilegesApproval/2")</f>
        <v>https://api-enni.alpina.ru/FilePrivilegesApproval/2</v>
      </c>
      <c r="Z125" s="13" t="s">
        <v>282</v>
      </c>
      <c r="AT125" s="1">
        <f t="shared" ref="AT125:AT156" si="15">IF($A125&lt;&gt;0,1,0)</f>
        <v>0</v>
      </c>
      <c r="AU125" s="1">
        <f t="shared" ref="AU125:AU156" si="16">$A125*$B125</f>
        <v>0</v>
      </c>
      <c r="AV125" s="1">
        <f t="shared" ref="AV125:AV156" si="17">$A125*$N125</f>
        <v>0</v>
      </c>
      <c r="AW125" s="1">
        <f t="shared" ref="AW125:AW156" si="18">IF($Q125=0,0,INT($A125/$Q125))</f>
        <v>0</v>
      </c>
      <c r="AX125" s="1">
        <f t="shared" ref="AX125:AX156" si="19">$A125-$AW125*$Q125</f>
        <v>0</v>
      </c>
    </row>
    <row r="126" spans="1:50" s="1" customFormat="1" ht="24.95" customHeight="1" outlineLevel="1" x14ac:dyDescent="0.2">
      <c r="A126" s="11"/>
      <c r="B126" s="12">
        <v>340</v>
      </c>
      <c r="C126" s="12">
        <v>540</v>
      </c>
      <c r="D126" s="12">
        <v>12407</v>
      </c>
      <c r="E126" s="13" t="s">
        <v>514</v>
      </c>
      <c r="F126" s="13" t="s">
        <v>515</v>
      </c>
      <c r="G126" s="13" t="s">
        <v>56</v>
      </c>
      <c r="H126" s="13" t="s">
        <v>40</v>
      </c>
      <c r="I126" s="12">
        <v>2025</v>
      </c>
      <c r="J126" s="13" t="s">
        <v>516</v>
      </c>
      <c r="K126" s="12">
        <v>9785961425222</v>
      </c>
      <c r="L126" s="13" t="s">
        <v>517</v>
      </c>
      <c r="M126" s="12">
        <v>324</v>
      </c>
      <c r="N126" s="14">
        <v>0.22</v>
      </c>
      <c r="O126" s="12">
        <v>115</v>
      </c>
      <c r="P126" s="12">
        <v>165</v>
      </c>
      <c r="Q126" s="12">
        <v>10</v>
      </c>
      <c r="R126" s="13" t="s">
        <v>75</v>
      </c>
      <c r="S126" s="13" t="s">
        <v>253</v>
      </c>
      <c r="T126" s="15">
        <v>5000</v>
      </c>
      <c r="U126" s="13" t="s">
        <v>44</v>
      </c>
      <c r="V126" s="13" t="s">
        <v>64</v>
      </c>
      <c r="W126" s="12">
        <v>10</v>
      </c>
      <c r="X126" s="33" t="str">
        <f>HYPERLINK("https://www.alpinabook.ru/catalog/book-luchshaya-versiya-sebya","ссылка на книгу")</f>
        <v>ссылка на книгу</v>
      </c>
      <c r="Y126" s="34" t="str">
        <f>HYPERLINK("https://api-enni.alpina.ru/FilePrivilegesApproval/125","https://api-enni.alpina.ru/FilePrivilegesApproval/125")</f>
        <v>https://api-enni.alpina.ru/FilePrivilegesApproval/125</v>
      </c>
      <c r="Z126" s="13" t="s">
        <v>392</v>
      </c>
      <c r="AT126" s="1">
        <f t="shared" si="15"/>
        <v>0</v>
      </c>
      <c r="AU126" s="1">
        <f t="shared" si="16"/>
        <v>0</v>
      </c>
      <c r="AV126" s="1">
        <f t="shared" si="17"/>
        <v>0</v>
      </c>
      <c r="AW126" s="1">
        <f t="shared" si="18"/>
        <v>0</v>
      </c>
      <c r="AX126" s="1">
        <f t="shared" si="19"/>
        <v>0</v>
      </c>
    </row>
    <row r="127" spans="1:50" s="1" customFormat="1" ht="24.95" customHeight="1" outlineLevel="1" x14ac:dyDescent="0.2">
      <c r="A127" s="11"/>
      <c r="B127" s="12">
        <v>590</v>
      </c>
      <c r="C127" s="12">
        <v>840</v>
      </c>
      <c r="D127" s="12">
        <v>7646</v>
      </c>
      <c r="E127" s="13" t="s">
        <v>518</v>
      </c>
      <c r="F127" s="13" t="s">
        <v>519</v>
      </c>
      <c r="G127" s="13" t="s">
        <v>56</v>
      </c>
      <c r="H127" s="13" t="s">
        <v>40</v>
      </c>
      <c r="I127" s="12">
        <v>2025</v>
      </c>
      <c r="J127" s="13" t="s">
        <v>520</v>
      </c>
      <c r="K127" s="12">
        <v>9785961465655</v>
      </c>
      <c r="L127" s="13" t="s">
        <v>521</v>
      </c>
      <c r="M127" s="12">
        <v>304</v>
      </c>
      <c r="N127" s="14">
        <v>0.46</v>
      </c>
      <c r="O127" s="12">
        <v>146</v>
      </c>
      <c r="P127" s="12">
        <v>216</v>
      </c>
      <c r="Q127" s="12">
        <v>5</v>
      </c>
      <c r="R127" s="13" t="s">
        <v>43</v>
      </c>
      <c r="S127" s="13"/>
      <c r="T127" s="15">
        <v>1000</v>
      </c>
      <c r="U127" s="13" t="s">
        <v>52</v>
      </c>
      <c r="V127" s="13" t="s">
        <v>59</v>
      </c>
      <c r="W127" s="12">
        <v>10</v>
      </c>
      <c r="X127" s="33" t="str">
        <f>HYPERLINK("https://www.alpinabook.ru/catalog/book-luchshe-kazhdyy-den","ссылка на книгу")</f>
        <v>ссылка на книгу</v>
      </c>
      <c r="Y127" s="34" t="str">
        <f>HYPERLINK("https://api-enni.alpina.ru/FilePrivilegesApproval/2","https://api-enni.alpina.ru/FilePrivilegesApproval/2")</f>
        <v>https://api-enni.alpina.ru/FilePrivilegesApproval/2</v>
      </c>
      <c r="Z127" s="13" t="s">
        <v>118</v>
      </c>
      <c r="AT127" s="1">
        <f t="shared" si="15"/>
        <v>0</v>
      </c>
      <c r="AU127" s="1">
        <f t="shared" si="16"/>
        <v>0</v>
      </c>
      <c r="AV127" s="1">
        <f t="shared" si="17"/>
        <v>0</v>
      </c>
      <c r="AW127" s="1">
        <f t="shared" si="18"/>
        <v>0</v>
      </c>
      <c r="AX127" s="1">
        <f t="shared" si="19"/>
        <v>0</v>
      </c>
    </row>
    <row r="128" spans="1:50" s="1" customFormat="1" ht="24.95" customHeight="1" outlineLevel="1" x14ac:dyDescent="0.2">
      <c r="A128" s="11"/>
      <c r="B128" s="12">
        <v>290</v>
      </c>
      <c r="C128" s="12">
        <v>440</v>
      </c>
      <c r="D128" s="12">
        <v>11310</v>
      </c>
      <c r="E128" s="13" t="s">
        <v>522</v>
      </c>
      <c r="F128" s="13" t="s">
        <v>523</v>
      </c>
      <c r="G128" s="13" t="s">
        <v>56</v>
      </c>
      <c r="H128" s="13" t="s">
        <v>164</v>
      </c>
      <c r="I128" s="12">
        <v>2025</v>
      </c>
      <c r="J128" s="13" t="s">
        <v>524</v>
      </c>
      <c r="K128" s="12">
        <v>9785961417616</v>
      </c>
      <c r="L128" s="13" t="s">
        <v>525</v>
      </c>
      <c r="M128" s="12">
        <v>268</v>
      </c>
      <c r="N128" s="14">
        <v>0.18</v>
      </c>
      <c r="O128" s="12">
        <v>115</v>
      </c>
      <c r="P128" s="12">
        <v>165</v>
      </c>
      <c r="Q128" s="12">
        <v>10</v>
      </c>
      <c r="R128" s="13" t="s">
        <v>75</v>
      </c>
      <c r="S128" s="13" t="s">
        <v>76</v>
      </c>
      <c r="T128" s="15">
        <v>5000</v>
      </c>
      <c r="U128" s="13" t="s">
        <v>44</v>
      </c>
      <c r="V128" s="13" t="s">
        <v>45</v>
      </c>
      <c r="W128" s="12">
        <v>10</v>
      </c>
      <c r="X128" s="33" t="str">
        <f>HYPERLINK("https://www.alpinabook.ru/catalog/book-lyubi-sebya","ссылка на книгу")</f>
        <v>ссылка на книгу</v>
      </c>
      <c r="Y128" s="34" t="str">
        <f>HYPERLINK("https://api-enni.alpina.ru/FilePrivilegesApproval/2","https://api-enni.alpina.ru/FilePrivilegesApproval/2")</f>
        <v>https://api-enni.alpina.ru/FilePrivilegesApproval/2</v>
      </c>
      <c r="Z128" s="13" t="s">
        <v>142</v>
      </c>
      <c r="AT128" s="1">
        <f t="shared" si="15"/>
        <v>0</v>
      </c>
      <c r="AU128" s="1">
        <f t="shared" si="16"/>
        <v>0</v>
      </c>
      <c r="AV128" s="1">
        <f t="shared" si="17"/>
        <v>0</v>
      </c>
      <c r="AW128" s="1">
        <f t="shared" si="18"/>
        <v>0</v>
      </c>
      <c r="AX128" s="1">
        <f t="shared" si="19"/>
        <v>0</v>
      </c>
    </row>
    <row r="129" spans="1:50" s="1" customFormat="1" ht="24.95" customHeight="1" outlineLevel="1" x14ac:dyDescent="0.2">
      <c r="A129" s="11"/>
      <c r="B129" s="12">
        <v>590</v>
      </c>
      <c r="C129" s="12">
        <v>840</v>
      </c>
      <c r="D129" s="12">
        <v>11617</v>
      </c>
      <c r="E129" s="13" t="s">
        <v>526</v>
      </c>
      <c r="F129" s="13" t="s">
        <v>527</v>
      </c>
      <c r="G129" s="13" t="s">
        <v>56</v>
      </c>
      <c r="H129" s="13" t="s">
        <v>40</v>
      </c>
      <c r="I129" s="12">
        <v>2025</v>
      </c>
      <c r="J129" s="13" t="s">
        <v>528</v>
      </c>
      <c r="K129" s="12">
        <v>9785961427103</v>
      </c>
      <c r="L129" s="13" t="s">
        <v>529</v>
      </c>
      <c r="M129" s="12">
        <v>270</v>
      </c>
      <c r="N129" s="14">
        <v>0.4</v>
      </c>
      <c r="O129" s="12">
        <v>150</v>
      </c>
      <c r="P129" s="12">
        <v>220</v>
      </c>
      <c r="Q129" s="12">
        <v>16</v>
      </c>
      <c r="R129" s="13" t="s">
        <v>43</v>
      </c>
      <c r="S129" s="13"/>
      <c r="T129" s="15">
        <v>2000</v>
      </c>
      <c r="U129" s="13" t="s">
        <v>52</v>
      </c>
      <c r="V129" s="13" t="s">
        <v>64</v>
      </c>
      <c r="W129" s="12">
        <v>10</v>
      </c>
      <c r="X129" s="33" t="str">
        <f>HYPERLINK("https://www.alpinabook.ru/catalog/book-lyubov-k-nesovershenstvu","ссылка на книгу")</f>
        <v>ссылка на книгу</v>
      </c>
      <c r="Y129" s="34" t="str">
        <f>HYPERLINK("https://api-enni.alpina.ru/FilePrivilegesApproval/152","https://api-enni.alpina.ru/FilePrivilegesApproval/152")</f>
        <v>https://api-enni.alpina.ru/FilePrivilegesApproval/152</v>
      </c>
      <c r="Z129" s="13" t="s">
        <v>77</v>
      </c>
      <c r="AT129" s="1">
        <f t="shared" si="15"/>
        <v>0</v>
      </c>
      <c r="AU129" s="1">
        <f t="shared" si="16"/>
        <v>0</v>
      </c>
      <c r="AV129" s="1">
        <f t="shared" si="17"/>
        <v>0</v>
      </c>
      <c r="AW129" s="1">
        <f t="shared" si="18"/>
        <v>0</v>
      </c>
      <c r="AX129" s="1">
        <f t="shared" si="19"/>
        <v>0</v>
      </c>
    </row>
    <row r="130" spans="1:50" s="1" customFormat="1" ht="24.95" customHeight="1" outlineLevel="1" x14ac:dyDescent="0.2">
      <c r="A130" s="11"/>
      <c r="B130" s="12">
        <v>690</v>
      </c>
      <c r="C130" s="12">
        <v>990</v>
      </c>
      <c r="D130" s="12">
        <v>24529</v>
      </c>
      <c r="E130" s="13" t="s">
        <v>530</v>
      </c>
      <c r="F130" s="13" t="s">
        <v>531</v>
      </c>
      <c r="G130" s="13" t="s">
        <v>56</v>
      </c>
      <c r="H130" s="13"/>
      <c r="I130" s="12">
        <v>2025</v>
      </c>
      <c r="J130" s="13" t="s">
        <v>532</v>
      </c>
      <c r="K130" s="12">
        <v>9785961477443</v>
      </c>
      <c r="L130" s="13" t="s">
        <v>533</v>
      </c>
      <c r="M130" s="12">
        <v>168</v>
      </c>
      <c r="N130" s="14">
        <v>0.4</v>
      </c>
      <c r="O130" s="12">
        <v>170</v>
      </c>
      <c r="P130" s="12">
        <v>250</v>
      </c>
      <c r="Q130" s="12">
        <v>10</v>
      </c>
      <c r="R130" s="13" t="s">
        <v>94</v>
      </c>
      <c r="S130" s="13"/>
      <c r="T130" s="15">
        <v>1000</v>
      </c>
      <c r="U130" s="13" t="s">
        <v>52</v>
      </c>
      <c r="V130" s="13" t="s">
        <v>64</v>
      </c>
      <c r="W130" s="12">
        <v>10</v>
      </c>
      <c r="X130" s="33" t="str">
        <f>HYPERLINK("https://www.alpinabook.ru/catalog/book-marketing-dlya-dizaynerov-interera","ссылка на книгу")</f>
        <v>ссылка на книгу</v>
      </c>
      <c r="Y130" s="34" t="str">
        <f>HYPERLINK("https://api-enni.alpina.ru/FilePrivilegesApproval/152","https://api-enni.alpina.ru/FilePrivilegesApproval/152")</f>
        <v>https://api-enni.alpina.ru/FilePrivilegesApproval/152</v>
      </c>
      <c r="Z130" s="13" t="s">
        <v>282</v>
      </c>
      <c r="AT130" s="1">
        <f t="shared" si="15"/>
        <v>0</v>
      </c>
      <c r="AU130" s="1">
        <f t="shared" si="16"/>
        <v>0</v>
      </c>
      <c r="AV130" s="1">
        <f t="shared" si="17"/>
        <v>0</v>
      </c>
      <c r="AW130" s="1">
        <f t="shared" si="18"/>
        <v>0</v>
      </c>
      <c r="AX130" s="1">
        <f t="shared" si="19"/>
        <v>0</v>
      </c>
    </row>
    <row r="131" spans="1:50" s="1" customFormat="1" ht="24.95" customHeight="1" outlineLevel="1" x14ac:dyDescent="0.2">
      <c r="A131" s="11"/>
      <c r="B131" s="12">
        <v>640</v>
      </c>
      <c r="C131" s="12">
        <v>940</v>
      </c>
      <c r="D131" s="12">
        <v>1629</v>
      </c>
      <c r="E131" s="13" t="s">
        <v>401</v>
      </c>
      <c r="F131" s="13" t="s">
        <v>534</v>
      </c>
      <c r="G131" s="13" t="s">
        <v>56</v>
      </c>
      <c r="H131" s="13" t="s">
        <v>40</v>
      </c>
      <c r="I131" s="12">
        <v>2025</v>
      </c>
      <c r="J131" s="13" t="s">
        <v>535</v>
      </c>
      <c r="K131" s="12">
        <v>9785961467451</v>
      </c>
      <c r="L131" s="13" t="s">
        <v>536</v>
      </c>
      <c r="M131" s="12">
        <v>216</v>
      </c>
      <c r="N131" s="14">
        <v>0.36</v>
      </c>
      <c r="O131" s="12">
        <v>146</v>
      </c>
      <c r="P131" s="12">
        <v>216</v>
      </c>
      <c r="Q131" s="12">
        <v>18</v>
      </c>
      <c r="R131" s="13" t="s">
        <v>43</v>
      </c>
      <c r="S131" s="13"/>
      <c r="T131" s="15">
        <v>10000</v>
      </c>
      <c r="U131" s="13" t="s">
        <v>52</v>
      </c>
      <c r="V131" s="13" t="s">
        <v>64</v>
      </c>
      <c r="W131" s="12">
        <v>10</v>
      </c>
      <c r="X131" s="33" t="str">
        <f>HYPERLINK("https://www.alpinabook.ru/catalog/book-marketing-ot-a-do-ya","ссылка на книгу")</f>
        <v>ссылка на книгу</v>
      </c>
      <c r="Y131" s="34" t="str">
        <f>HYPERLINK("https://api-enni.alpina.ru/FilePrivilegesApproval/2","https://api-enni.alpina.ru/FilePrivilegesApproval/2")</f>
        <v>https://api-enni.alpina.ru/FilePrivilegesApproval/2</v>
      </c>
      <c r="Z131" s="13"/>
      <c r="AT131" s="1">
        <f t="shared" si="15"/>
        <v>0</v>
      </c>
      <c r="AU131" s="1">
        <f t="shared" si="16"/>
        <v>0</v>
      </c>
      <c r="AV131" s="1">
        <f t="shared" si="17"/>
        <v>0</v>
      </c>
      <c r="AW131" s="1">
        <f t="shared" si="18"/>
        <v>0</v>
      </c>
      <c r="AX131" s="1">
        <f t="shared" si="19"/>
        <v>0</v>
      </c>
    </row>
    <row r="132" spans="1:50" s="1" customFormat="1" ht="24.95" customHeight="1" outlineLevel="1" x14ac:dyDescent="0.2">
      <c r="A132" s="11"/>
      <c r="B132" s="15">
        <v>1090</v>
      </c>
      <c r="C132" s="15">
        <v>1590</v>
      </c>
      <c r="D132" s="12">
        <v>24920</v>
      </c>
      <c r="E132" s="13" t="s">
        <v>537</v>
      </c>
      <c r="F132" s="13" t="s">
        <v>538</v>
      </c>
      <c r="G132" s="13" t="s">
        <v>86</v>
      </c>
      <c r="H132" s="13" t="s">
        <v>40</v>
      </c>
      <c r="I132" s="12">
        <v>2025</v>
      </c>
      <c r="J132" s="13" t="s">
        <v>539</v>
      </c>
      <c r="K132" s="12">
        <v>9785001396246</v>
      </c>
      <c r="L132" s="13" t="s">
        <v>540</v>
      </c>
      <c r="M132" s="12">
        <v>542</v>
      </c>
      <c r="N132" s="14">
        <v>0.73</v>
      </c>
      <c r="O132" s="12">
        <v>153</v>
      </c>
      <c r="P132" s="12">
        <v>216</v>
      </c>
      <c r="Q132" s="12">
        <v>5</v>
      </c>
      <c r="R132" s="13" t="s">
        <v>43</v>
      </c>
      <c r="S132" s="13"/>
      <c r="T132" s="15">
        <v>1000</v>
      </c>
      <c r="U132" s="13" t="s">
        <v>52</v>
      </c>
      <c r="V132" s="13" t="s">
        <v>64</v>
      </c>
      <c r="W132" s="12">
        <v>10</v>
      </c>
      <c r="X132" s="33" t="str">
        <f>HYPERLINK("https://www.alpinabook.ru/catalog/book-matematika-kosmosa","ссылка на книгу")</f>
        <v>ссылка на книгу</v>
      </c>
      <c r="Y132" s="34" t="str">
        <f>HYPERLINK("https://api-enni.alpina.ru/FilePrivilegesApproval/131","https://api-enni.alpina.ru/FilePrivilegesApproval/131")</f>
        <v>https://api-enni.alpina.ru/FilePrivilegesApproval/131</v>
      </c>
      <c r="Z132" s="13" t="s">
        <v>65</v>
      </c>
      <c r="AT132" s="1">
        <f t="shared" si="15"/>
        <v>0</v>
      </c>
      <c r="AU132" s="1">
        <f t="shared" si="16"/>
        <v>0</v>
      </c>
      <c r="AV132" s="1">
        <f t="shared" si="17"/>
        <v>0</v>
      </c>
      <c r="AW132" s="1">
        <f t="shared" si="18"/>
        <v>0</v>
      </c>
      <c r="AX132" s="1">
        <f t="shared" si="19"/>
        <v>0</v>
      </c>
    </row>
    <row r="133" spans="1:50" s="1" customFormat="1" ht="24.95" customHeight="1" outlineLevel="1" x14ac:dyDescent="0.2">
      <c r="A133" s="11"/>
      <c r="B133" s="15">
        <v>1990</v>
      </c>
      <c r="C133" s="15">
        <v>2490</v>
      </c>
      <c r="D133" s="12">
        <v>23139</v>
      </c>
      <c r="E133" s="13" t="s">
        <v>541</v>
      </c>
      <c r="F133" s="13" t="s">
        <v>542</v>
      </c>
      <c r="G133" s="13" t="s">
        <v>86</v>
      </c>
      <c r="H133" s="13"/>
      <c r="I133" s="12">
        <v>2025</v>
      </c>
      <c r="J133" s="13" t="s">
        <v>543</v>
      </c>
      <c r="K133" s="12">
        <v>9785001394785</v>
      </c>
      <c r="L133" s="13" t="s">
        <v>544</v>
      </c>
      <c r="M133" s="12">
        <v>240</v>
      </c>
      <c r="N133" s="14">
        <v>1.24</v>
      </c>
      <c r="O133" s="12">
        <v>210</v>
      </c>
      <c r="P133" s="12">
        <v>260</v>
      </c>
      <c r="Q133" s="12">
        <v>5</v>
      </c>
      <c r="R133" s="13" t="s">
        <v>300</v>
      </c>
      <c r="S133" s="13"/>
      <c r="T133" s="15">
        <v>1000</v>
      </c>
      <c r="U133" s="13" t="s">
        <v>52</v>
      </c>
      <c r="V133" s="13" t="s">
        <v>64</v>
      </c>
      <c r="W133" s="12">
        <v>10</v>
      </c>
      <c r="X133" s="33" t="str">
        <f>HYPERLINK("https://www.alpinabook.ru/catalog/book-mezhdu-khristom-i-antikhristom","ссылка на книгу")</f>
        <v>ссылка на книгу</v>
      </c>
      <c r="Y133" s="34" t="str">
        <f>HYPERLINK("https://api-enni.alpina.ru/FilePrivilegesApproval/247","https://api-enni.alpina.ru/FilePrivilegesApproval/247")</f>
        <v>https://api-enni.alpina.ru/FilePrivilegesApproval/247</v>
      </c>
      <c r="Z133" s="13" t="s">
        <v>545</v>
      </c>
      <c r="AT133" s="1">
        <f t="shared" si="15"/>
        <v>0</v>
      </c>
      <c r="AU133" s="1">
        <f t="shared" si="16"/>
        <v>0</v>
      </c>
      <c r="AV133" s="1">
        <f t="shared" si="17"/>
        <v>0</v>
      </c>
      <c r="AW133" s="1">
        <f t="shared" si="18"/>
        <v>0</v>
      </c>
      <c r="AX133" s="1">
        <f t="shared" si="19"/>
        <v>0</v>
      </c>
    </row>
    <row r="134" spans="1:50" s="1" customFormat="1" ht="24.95" customHeight="1" outlineLevel="1" x14ac:dyDescent="0.2">
      <c r="A134" s="11"/>
      <c r="B134" s="12">
        <v>790</v>
      </c>
      <c r="C134" s="15">
        <v>1190</v>
      </c>
      <c r="D134" s="12">
        <v>8503</v>
      </c>
      <c r="E134" s="13" t="s">
        <v>546</v>
      </c>
      <c r="F134" s="13" t="s">
        <v>547</v>
      </c>
      <c r="G134" s="13" t="s">
        <v>56</v>
      </c>
      <c r="H134" s="13" t="s">
        <v>40</v>
      </c>
      <c r="I134" s="12">
        <v>2025</v>
      </c>
      <c r="J134" s="13" t="s">
        <v>548</v>
      </c>
      <c r="K134" s="12">
        <v>9785961412444</v>
      </c>
      <c r="L134" s="13" t="s">
        <v>549</v>
      </c>
      <c r="M134" s="12">
        <v>182</v>
      </c>
      <c r="N134" s="14">
        <v>0.43</v>
      </c>
      <c r="O134" s="12">
        <v>171</v>
      </c>
      <c r="P134" s="12">
        <v>241</v>
      </c>
      <c r="Q134" s="12">
        <v>10</v>
      </c>
      <c r="R134" s="13" t="s">
        <v>94</v>
      </c>
      <c r="S134" s="13"/>
      <c r="T134" s="15">
        <v>1000</v>
      </c>
      <c r="U134" s="13" t="s">
        <v>52</v>
      </c>
      <c r="V134" s="13" t="s">
        <v>45</v>
      </c>
      <c r="W134" s="12">
        <v>10</v>
      </c>
      <c r="X134" s="33" t="str">
        <f>HYPERLINK("https://www.alpinabook.ru/catalog/book-menedzhment-novogo-vremeni","ссылка на книгу")</f>
        <v>ссылка на книгу</v>
      </c>
      <c r="Y134" s="34" t="str">
        <f>HYPERLINK("https://api-enni.alpina.ru/FilePrivilegesApproval/2","https://api-enni.alpina.ru/FilePrivilegesApproval/2")</f>
        <v>https://api-enni.alpina.ru/FilePrivilegesApproval/2</v>
      </c>
      <c r="Z134" s="13" t="s">
        <v>282</v>
      </c>
      <c r="AT134" s="1">
        <f t="shared" si="15"/>
        <v>0</v>
      </c>
      <c r="AU134" s="1">
        <f t="shared" si="16"/>
        <v>0</v>
      </c>
      <c r="AV134" s="1">
        <f t="shared" si="17"/>
        <v>0</v>
      </c>
      <c r="AW134" s="1">
        <f t="shared" si="18"/>
        <v>0</v>
      </c>
      <c r="AX134" s="1">
        <f t="shared" si="19"/>
        <v>0</v>
      </c>
    </row>
    <row r="135" spans="1:50" s="1" customFormat="1" ht="24.95" customHeight="1" outlineLevel="1" x14ac:dyDescent="0.2">
      <c r="A135" s="11"/>
      <c r="B135" s="12">
        <v>990</v>
      </c>
      <c r="C135" s="15">
        <v>1490</v>
      </c>
      <c r="D135" s="12">
        <v>24041</v>
      </c>
      <c r="E135" s="13" t="s">
        <v>273</v>
      </c>
      <c r="F135" s="13" t="s">
        <v>550</v>
      </c>
      <c r="G135" s="13" t="s">
        <v>56</v>
      </c>
      <c r="H135" s="13"/>
      <c r="I135" s="12">
        <v>2025</v>
      </c>
      <c r="J135" s="13" t="s">
        <v>551</v>
      </c>
      <c r="K135" s="12">
        <v>9785961442717</v>
      </c>
      <c r="L135" s="13" t="s">
        <v>552</v>
      </c>
      <c r="M135" s="12">
        <v>583</v>
      </c>
      <c r="N135" s="14">
        <v>0.78</v>
      </c>
      <c r="O135" s="12">
        <v>150</v>
      </c>
      <c r="P135" s="12">
        <v>220</v>
      </c>
      <c r="Q135" s="12">
        <v>5</v>
      </c>
      <c r="R135" s="13" t="s">
        <v>43</v>
      </c>
      <c r="S135" s="13"/>
      <c r="T135" s="15">
        <v>1000</v>
      </c>
      <c r="U135" s="13" t="s">
        <v>52</v>
      </c>
      <c r="V135" s="13" t="s">
        <v>59</v>
      </c>
      <c r="W135" s="12">
        <v>10</v>
      </c>
      <c r="X135" s="33" t="str">
        <f>HYPERLINK("https://www.alpinabook.ru/catalog/book-metod-skolzkoy-gorki","ссылка на книгу")</f>
        <v>ссылка на книгу</v>
      </c>
      <c r="Y135" s="34" t="str">
        <f>HYPERLINK("https://api-enni.alpina.ru/FilePrivilegesApproval/132","https://api-enni.alpina.ru/FilePrivilegesApproval/132")</f>
        <v>https://api-enni.alpina.ru/FilePrivilegesApproval/132</v>
      </c>
      <c r="Z135" s="13" t="s">
        <v>405</v>
      </c>
      <c r="AT135" s="1">
        <f t="shared" si="15"/>
        <v>0</v>
      </c>
      <c r="AU135" s="1">
        <f t="shared" si="16"/>
        <v>0</v>
      </c>
      <c r="AV135" s="1">
        <f t="shared" si="17"/>
        <v>0</v>
      </c>
      <c r="AW135" s="1">
        <f t="shared" si="18"/>
        <v>0</v>
      </c>
      <c r="AX135" s="1">
        <f t="shared" si="19"/>
        <v>0</v>
      </c>
    </row>
    <row r="136" spans="1:50" s="1" customFormat="1" ht="24.95" customHeight="1" outlineLevel="1" x14ac:dyDescent="0.2">
      <c r="A136" s="11"/>
      <c r="B136" s="15">
        <v>1290</v>
      </c>
      <c r="C136" s="15">
        <v>1790</v>
      </c>
      <c r="D136" s="12">
        <v>5754</v>
      </c>
      <c r="E136" s="13" t="s">
        <v>313</v>
      </c>
      <c r="F136" s="13" t="s">
        <v>553</v>
      </c>
      <c r="G136" s="13" t="s">
        <v>56</v>
      </c>
      <c r="H136" s="13" t="s">
        <v>40</v>
      </c>
      <c r="I136" s="12">
        <v>2025</v>
      </c>
      <c r="J136" s="13" t="s">
        <v>554</v>
      </c>
      <c r="K136" s="12">
        <v>9785961407181</v>
      </c>
      <c r="L136" s="13" t="s">
        <v>555</v>
      </c>
      <c r="M136" s="12">
        <v>350</v>
      </c>
      <c r="N136" s="14">
        <v>0.68</v>
      </c>
      <c r="O136" s="12">
        <v>168</v>
      </c>
      <c r="P136" s="12">
        <v>241</v>
      </c>
      <c r="Q136" s="12">
        <v>6</v>
      </c>
      <c r="R136" s="13" t="s">
        <v>94</v>
      </c>
      <c r="S136" s="13"/>
      <c r="T136" s="15">
        <v>1000</v>
      </c>
      <c r="U136" s="13" t="s">
        <v>52</v>
      </c>
      <c r="V136" s="13" t="s">
        <v>64</v>
      </c>
      <c r="W136" s="12">
        <v>10</v>
      </c>
      <c r="X136" s="33" t="str">
        <f>HYPERLINK("https://www.alpinabook.ru/catalog/book-metod-startapa","ссылка на книгу")</f>
        <v>ссылка на книгу</v>
      </c>
      <c r="Y136" s="34" t="str">
        <f>HYPERLINK("https://api-enni.alpina.ru/FilePrivilegesApproval/164","https://api-enni.alpina.ru/FilePrivilegesApproval/164")</f>
        <v>https://api-enni.alpina.ru/FilePrivilegesApproval/164</v>
      </c>
      <c r="Z136" s="13" t="s">
        <v>282</v>
      </c>
      <c r="AT136" s="1">
        <f t="shared" si="15"/>
        <v>0</v>
      </c>
      <c r="AU136" s="1">
        <f t="shared" si="16"/>
        <v>0</v>
      </c>
      <c r="AV136" s="1">
        <f t="shared" si="17"/>
        <v>0</v>
      </c>
      <c r="AW136" s="1">
        <f t="shared" si="18"/>
        <v>0</v>
      </c>
      <c r="AX136" s="1">
        <f t="shared" si="19"/>
        <v>0</v>
      </c>
    </row>
    <row r="137" spans="1:50" s="1" customFormat="1" ht="24.95" customHeight="1" outlineLevel="1" x14ac:dyDescent="0.2">
      <c r="A137" s="11"/>
      <c r="B137" s="12">
        <v>790</v>
      </c>
      <c r="C137" s="15">
        <v>1190</v>
      </c>
      <c r="D137" s="12">
        <v>8598</v>
      </c>
      <c r="E137" s="13" t="s">
        <v>501</v>
      </c>
      <c r="F137" s="13" t="s">
        <v>556</v>
      </c>
      <c r="G137" s="13" t="s">
        <v>56</v>
      </c>
      <c r="H137" s="13" t="s">
        <v>40</v>
      </c>
      <c r="I137" s="12">
        <v>2025</v>
      </c>
      <c r="J137" s="13" t="s">
        <v>557</v>
      </c>
      <c r="K137" s="12">
        <v>9785961471304</v>
      </c>
      <c r="L137" s="13" t="s">
        <v>558</v>
      </c>
      <c r="M137" s="12">
        <v>208</v>
      </c>
      <c r="N137" s="14">
        <v>0.36</v>
      </c>
      <c r="O137" s="12">
        <v>150</v>
      </c>
      <c r="P137" s="12">
        <v>220</v>
      </c>
      <c r="Q137" s="12">
        <v>10</v>
      </c>
      <c r="R137" s="13" t="s">
        <v>43</v>
      </c>
      <c r="S137" s="13" t="s">
        <v>505</v>
      </c>
      <c r="T137" s="15">
        <v>1000</v>
      </c>
      <c r="U137" s="13" t="s">
        <v>52</v>
      </c>
      <c r="V137" s="13" t="s">
        <v>64</v>
      </c>
      <c r="W137" s="12">
        <v>10</v>
      </c>
      <c r="X137" s="33" t="str">
        <f>HYPERLINK("https://www.alpinabook.ru/catalog/book-metody-prinyatiya-resheniy","ссылка на книгу")</f>
        <v>ссылка на книгу</v>
      </c>
      <c r="Y137" s="34" t="str">
        <f>HYPERLINK("https://api-enni.alpina.ru/FilePrivilegesApproval/2","https://api-enni.alpina.ru/FilePrivilegesApproval/2")</f>
        <v>https://api-enni.alpina.ru/FilePrivilegesApproval/2</v>
      </c>
      <c r="Z137" s="13" t="s">
        <v>65</v>
      </c>
      <c r="AT137" s="1">
        <f t="shared" si="15"/>
        <v>0</v>
      </c>
      <c r="AU137" s="1">
        <f t="shared" si="16"/>
        <v>0</v>
      </c>
      <c r="AV137" s="1">
        <f t="shared" si="17"/>
        <v>0</v>
      </c>
      <c r="AW137" s="1">
        <f t="shared" si="18"/>
        <v>0</v>
      </c>
      <c r="AX137" s="1">
        <f t="shared" si="19"/>
        <v>0</v>
      </c>
    </row>
    <row r="138" spans="1:50" s="1" customFormat="1" ht="24.95" customHeight="1" outlineLevel="1" x14ac:dyDescent="0.2">
      <c r="A138" s="11"/>
      <c r="B138" s="12">
        <v>640</v>
      </c>
      <c r="C138" s="12">
        <v>940</v>
      </c>
      <c r="D138" s="12">
        <v>6303</v>
      </c>
      <c r="E138" s="13" t="s">
        <v>559</v>
      </c>
      <c r="F138" s="13" t="s">
        <v>560</v>
      </c>
      <c r="G138" s="13" t="s">
        <v>86</v>
      </c>
      <c r="H138" s="13" t="s">
        <v>40</v>
      </c>
      <c r="I138" s="12">
        <v>2018</v>
      </c>
      <c r="J138" s="13" t="s">
        <v>561</v>
      </c>
      <c r="K138" s="12">
        <v>9785916717877</v>
      </c>
      <c r="L138" s="13" t="s">
        <v>562</v>
      </c>
      <c r="M138" s="12">
        <v>296</v>
      </c>
      <c r="N138" s="14">
        <v>0.46</v>
      </c>
      <c r="O138" s="12">
        <v>146</v>
      </c>
      <c r="P138" s="12">
        <v>216</v>
      </c>
      <c r="Q138" s="12">
        <v>6</v>
      </c>
      <c r="R138" s="13" t="s">
        <v>43</v>
      </c>
      <c r="S138" s="13"/>
      <c r="T138" s="15">
        <v>1000</v>
      </c>
      <c r="U138" s="13" t="s">
        <v>52</v>
      </c>
      <c r="V138" s="13" t="s">
        <v>45</v>
      </c>
      <c r="W138" s="12">
        <v>10</v>
      </c>
      <c r="X138" s="33" t="str">
        <f>HYPERLINK("https://www.alpinabook.ru/catalog/book-milliardy-i-milliardy","ссылка на книгу")</f>
        <v>ссылка на книгу</v>
      </c>
      <c r="Y138" s="34" t="str">
        <f>HYPERLINK("https://api-enni.alpina.ru/FilePrivilegesApproval/131","https://api-enni.alpina.ru/FilePrivilegesApproval/131")</f>
        <v>https://api-enni.alpina.ru/FilePrivilegesApproval/131</v>
      </c>
      <c r="Z138" s="13" t="s">
        <v>65</v>
      </c>
      <c r="AT138" s="1">
        <f t="shared" si="15"/>
        <v>0</v>
      </c>
      <c r="AU138" s="1">
        <f t="shared" si="16"/>
        <v>0</v>
      </c>
      <c r="AV138" s="1">
        <f t="shared" si="17"/>
        <v>0</v>
      </c>
      <c r="AW138" s="1">
        <f t="shared" si="18"/>
        <v>0</v>
      </c>
      <c r="AX138" s="1">
        <f t="shared" si="19"/>
        <v>0</v>
      </c>
    </row>
    <row r="139" spans="1:50" s="1" customFormat="1" ht="24.95" customHeight="1" outlineLevel="1" x14ac:dyDescent="0.2">
      <c r="A139" s="11"/>
      <c r="B139" s="12">
        <v>990</v>
      </c>
      <c r="C139" s="15">
        <v>1490</v>
      </c>
      <c r="D139" s="12">
        <v>26127</v>
      </c>
      <c r="E139" s="13" t="s">
        <v>563</v>
      </c>
      <c r="F139" s="13" t="s">
        <v>564</v>
      </c>
      <c r="G139" s="13" t="s">
        <v>97</v>
      </c>
      <c r="H139" s="13"/>
      <c r="I139" s="12">
        <v>2024</v>
      </c>
      <c r="J139" s="13" t="s">
        <v>565</v>
      </c>
      <c r="K139" s="12">
        <v>9785206000603</v>
      </c>
      <c r="L139" s="13" t="s">
        <v>566</v>
      </c>
      <c r="M139" s="12">
        <v>384</v>
      </c>
      <c r="N139" s="14">
        <v>0.55000000000000004</v>
      </c>
      <c r="O139" s="12">
        <v>150</v>
      </c>
      <c r="P139" s="12">
        <v>220</v>
      </c>
      <c r="Q139" s="12">
        <v>5</v>
      </c>
      <c r="R139" s="13" t="s">
        <v>43</v>
      </c>
      <c r="S139" s="13"/>
      <c r="T139" s="15">
        <v>5000</v>
      </c>
      <c r="U139" s="13" t="s">
        <v>52</v>
      </c>
      <c r="V139" s="13" t="s">
        <v>59</v>
      </c>
      <c r="W139" s="12">
        <v>10</v>
      </c>
      <c r="X139" s="33" t="str">
        <f>HYPERLINK("https://www.alpinabook.ru/catalog/book-missiya-vypolnima","ссылка на книгу")</f>
        <v>ссылка на книгу</v>
      </c>
      <c r="Y139" s="34" t="str">
        <f>HYPERLINK("https://api-enni.alpina.ru/FilePrivilegesApproval/168","https://api-enni.alpina.ru/FilePrivilegesApproval/168")</f>
        <v>https://api-enni.alpina.ru/FilePrivilegesApproval/168</v>
      </c>
      <c r="Z139" s="13" t="s">
        <v>567</v>
      </c>
      <c r="AT139" s="1">
        <f t="shared" si="15"/>
        <v>0</v>
      </c>
      <c r="AU139" s="1">
        <f t="shared" si="16"/>
        <v>0</v>
      </c>
      <c r="AV139" s="1">
        <f t="shared" si="17"/>
        <v>0</v>
      </c>
      <c r="AW139" s="1">
        <f t="shared" si="18"/>
        <v>0</v>
      </c>
      <c r="AX139" s="1">
        <f t="shared" si="19"/>
        <v>0</v>
      </c>
    </row>
    <row r="140" spans="1:50" s="1" customFormat="1" ht="24.95" customHeight="1" outlineLevel="1" x14ac:dyDescent="0.2">
      <c r="A140" s="11"/>
      <c r="B140" s="15">
        <v>2390</v>
      </c>
      <c r="C140" s="15">
        <v>2890</v>
      </c>
      <c r="D140" s="12">
        <v>11355</v>
      </c>
      <c r="E140" s="13" t="s">
        <v>568</v>
      </c>
      <c r="F140" s="13" t="s">
        <v>569</v>
      </c>
      <c r="G140" s="13" t="s">
        <v>86</v>
      </c>
      <c r="H140" s="13" t="s">
        <v>40</v>
      </c>
      <c r="I140" s="12">
        <v>2025</v>
      </c>
      <c r="J140" s="13" t="s">
        <v>570</v>
      </c>
      <c r="K140" s="12">
        <v>9785916719710</v>
      </c>
      <c r="L140" s="13" t="s">
        <v>571</v>
      </c>
      <c r="M140" s="12">
        <v>480</v>
      </c>
      <c r="N140" s="14">
        <v>1.2</v>
      </c>
      <c r="O140" s="12">
        <v>190</v>
      </c>
      <c r="P140" s="12">
        <v>240</v>
      </c>
      <c r="Q140" s="12">
        <v>4</v>
      </c>
      <c r="R140" s="13" t="s">
        <v>300</v>
      </c>
      <c r="S140" s="13"/>
      <c r="T140" s="15">
        <v>1500</v>
      </c>
      <c r="U140" s="13" t="s">
        <v>52</v>
      </c>
      <c r="V140" s="13" t="s">
        <v>45</v>
      </c>
      <c r="W140" s="12">
        <v>10</v>
      </c>
      <c r="X140" s="33" t="str">
        <f>HYPERLINK("https://www.alpinabook.ru/catalog/book-mifologiya","ссылка на книгу")</f>
        <v>ссылка на книгу</v>
      </c>
      <c r="Y140" s="34" t="str">
        <f>HYPERLINK("https://api-enni.alpina.ru/FilePrivilegesApproval/146","https://api-enni.alpina.ru/FilePrivilegesApproval/146")</f>
        <v>https://api-enni.alpina.ru/FilePrivilegesApproval/146</v>
      </c>
      <c r="Z140" s="13" t="s">
        <v>53</v>
      </c>
      <c r="AT140" s="1">
        <f t="shared" si="15"/>
        <v>0</v>
      </c>
      <c r="AU140" s="1">
        <f t="shared" si="16"/>
        <v>0</v>
      </c>
      <c r="AV140" s="1">
        <f t="shared" si="17"/>
        <v>0</v>
      </c>
      <c r="AW140" s="1">
        <f t="shared" si="18"/>
        <v>0</v>
      </c>
      <c r="AX140" s="1">
        <f t="shared" si="19"/>
        <v>0</v>
      </c>
    </row>
    <row r="141" spans="1:50" s="1" customFormat="1" ht="24.95" customHeight="1" outlineLevel="1" x14ac:dyDescent="0.2">
      <c r="A141" s="11"/>
      <c r="B141" s="12">
        <v>590</v>
      </c>
      <c r="C141" s="12">
        <v>840</v>
      </c>
      <c r="D141" s="12">
        <v>23244</v>
      </c>
      <c r="E141" s="13" t="s">
        <v>572</v>
      </c>
      <c r="F141" s="13" t="s">
        <v>573</v>
      </c>
      <c r="G141" s="13" t="s">
        <v>39</v>
      </c>
      <c r="H141" s="13"/>
      <c r="I141" s="12">
        <v>2025</v>
      </c>
      <c r="J141" s="13" t="s">
        <v>574</v>
      </c>
      <c r="K141" s="12">
        <v>9785001395232</v>
      </c>
      <c r="L141" s="13" t="s">
        <v>575</v>
      </c>
      <c r="M141" s="12">
        <v>320</v>
      </c>
      <c r="N141" s="14">
        <v>0.36</v>
      </c>
      <c r="O141" s="12">
        <v>130</v>
      </c>
      <c r="P141" s="12">
        <v>210</v>
      </c>
      <c r="Q141" s="12">
        <v>5</v>
      </c>
      <c r="R141" s="13" t="s">
        <v>82</v>
      </c>
      <c r="S141" s="13"/>
      <c r="T141" s="15">
        <v>1000</v>
      </c>
      <c r="U141" s="13" t="s">
        <v>52</v>
      </c>
      <c r="V141" s="13" t="s">
        <v>89</v>
      </c>
      <c r="W141" s="12">
        <v>10</v>
      </c>
      <c r="X141" s="33" t="str">
        <f>HYPERLINK("","ссылка на книгу")</f>
        <v>ссылка на книгу</v>
      </c>
      <c r="Y141" s="34" t="str">
        <f>HYPERLINK("https://api-enni.alpina.ru/FilePrivilegesApproval/150","https://api-enni.alpina.ru/FilePrivilegesApproval/150")</f>
        <v>https://api-enni.alpina.ru/FilePrivilegesApproval/150</v>
      </c>
      <c r="Z141" s="13" t="s">
        <v>101</v>
      </c>
      <c r="AT141" s="1">
        <f t="shared" si="15"/>
        <v>0</v>
      </c>
      <c r="AU141" s="1">
        <f t="shared" si="16"/>
        <v>0</v>
      </c>
      <c r="AV141" s="1">
        <f t="shared" si="17"/>
        <v>0</v>
      </c>
      <c r="AW141" s="1">
        <f t="shared" si="18"/>
        <v>0</v>
      </c>
      <c r="AX141" s="1">
        <f t="shared" si="19"/>
        <v>0</v>
      </c>
    </row>
    <row r="142" spans="1:50" s="1" customFormat="1" ht="24.95" customHeight="1" outlineLevel="1" x14ac:dyDescent="0.2">
      <c r="A142" s="11"/>
      <c r="B142" s="12">
        <v>590</v>
      </c>
      <c r="C142" s="12">
        <v>790</v>
      </c>
      <c r="D142" s="12">
        <v>11456</v>
      </c>
      <c r="E142" s="13" t="s">
        <v>576</v>
      </c>
      <c r="F142" s="13" t="s">
        <v>577</v>
      </c>
      <c r="G142" s="13" t="s">
        <v>56</v>
      </c>
      <c r="H142" s="13" t="s">
        <v>40</v>
      </c>
      <c r="I142" s="12">
        <v>2025</v>
      </c>
      <c r="J142" s="13" t="s">
        <v>578</v>
      </c>
      <c r="K142" s="12">
        <v>9785961432121</v>
      </c>
      <c r="L142" s="13" t="s">
        <v>579</v>
      </c>
      <c r="M142" s="12">
        <v>300</v>
      </c>
      <c r="N142" s="14">
        <v>0.44</v>
      </c>
      <c r="O142" s="12">
        <v>140</v>
      </c>
      <c r="P142" s="12">
        <v>200</v>
      </c>
      <c r="Q142" s="12">
        <v>8</v>
      </c>
      <c r="R142" s="13" t="s">
        <v>43</v>
      </c>
      <c r="S142" s="13"/>
      <c r="T142" s="15">
        <v>15000</v>
      </c>
      <c r="U142" s="13" t="s">
        <v>44</v>
      </c>
      <c r="V142" s="13" t="s">
        <v>45</v>
      </c>
      <c r="W142" s="12">
        <v>10</v>
      </c>
      <c r="X142" s="33" t="str">
        <f>HYPERLINK("https://www.alpinabook.ru/catalog/book-muzhskie-pravila","ссылка на книгу")</f>
        <v>ссылка на книгу</v>
      </c>
      <c r="Y142" s="34" t="str">
        <f>HYPERLINK("https://api-enni.alpina.ru/FilePrivilegesApproval/51","https://api-enni.alpina.ru/FilePrivilegesApproval/51")</f>
        <v>https://api-enni.alpina.ru/FilePrivilegesApproval/51</v>
      </c>
      <c r="Z142" s="13" t="s">
        <v>132</v>
      </c>
      <c r="AT142" s="1">
        <f t="shared" si="15"/>
        <v>0</v>
      </c>
      <c r="AU142" s="1">
        <f t="shared" si="16"/>
        <v>0</v>
      </c>
      <c r="AV142" s="1">
        <f t="shared" si="17"/>
        <v>0</v>
      </c>
      <c r="AW142" s="1">
        <f t="shared" si="18"/>
        <v>0</v>
      </c>
      <c r="AX142" s="1">
        <f t="shared" si="19"/>
        <v>0</v>
      </c>
    </row>
    <row r="143" spans="1:50" s="1" customFormat="1" ht="24.95" customHeight="1" outlineLevel="1" x14ac:dyDescent="0.2">
      <c r="A143" s="11"/>
      <c r="B143" s="12">
        <v>740</v>
      </c>
      <c r="C143" s="15">
        <v>1090</v>
      </c>
      <c r="D143" s="12">
        <v>27021</v>
      </c>
      <c r="E143" s="13" t="s">
        <v>580</v>
      </c>
      <c r="F143" s="13" t="s">
        <v>581</v>
      </c>
      <c r="G143" s="13" t="s">
        <v>97</v>
      </c>
      <c r="H143" s="13"/>
      <c r="I143" s="12">
        <v>2025</v>
      </c>
      <c r="J143" s="13" t="s">
        <v>582</v>
      </c>
      <c r="K143" s="12">
        <v>9785206001228</v>
      </c>
      <c r="L143" s="13" t="s">
        <v>583</v>
      </c>
      <c r="M143" s="12">
        <v>169</v>
      </c>
      <c r="N143" s="14">
        <v>0.31</v>
      </c>
      <c r="O143" s="12">
        <v>150</v>
      </c>
      <c r="P143" s="12">
        <v>220</v>
      </c>
      <c r="Q143" s="12">
        <v>10</v>
      </c>
      <c r="R143" s="13" t="s">
        <v>43</v>
      </c>
      <c r="S143" s="13"/>
      <c r="T143" s="15">
        <v>1000</v>
      </c>
      <c r="U143" s="13" t="s">
        <v>52</v>
      </c>
      <c r="V143" s="13" t="s">
        <v>59</v>
      </c>
      <c r="W143" s="12">
        <v>10</v>
      </c>
      <c r="X143" s="33" t="str">
        <f>HYPERLINK("https://www.alpinabook.ru/catalog/book-naverkhu","ссылка на книгу")</f>
        <v>ссылка на книгу</v>
      </c>
      <c r="Y143" s="34" t="str">
        <f>HYPERLINK("https://api-enni.alpina.ru/FilePrivilegesApproval/168","https://api-enni.alpina.ru/FilePrivilegesApproval/168")</f>
        <v>https://api-enni.alpina.ru/FilePrivilegesApproval/168</v>
      </c>
      <c r="Z143" s="13" t="s">
        <v>53</v>
      </c>
      <c r="AT143" s="1">
        <f t="shared" si="15"/>
        <v>0</v>
      </c>
      <c r="AU143" s="1">
        <f t="shared" si="16"/>
        <v>0</v>
      </c>
      <c r="AV143" s="1">
        <f t="shared" si="17"/>
        <v>0</v>
      </c>
      <c r="AW143" s="1">
        <f t="shared" si="18"/>
        <v>0</v>
      </c>
      <c r="AX143" s="1">
        <f t="shared" si="19"/>
        <v>0</v>
      </c>
    </row>
    <row r="144" spans="1:50" s="1" customFormat="1" ht="24.95" customHeight="1" outlineLevel="1" x14ac:dyDescent="0.2">
      <c r="A144" s="11"/>
      <c r="B144" s="15">
        <v>1690</v>
      </c>
      <c r="C144" s="15">
        <v>2190</v>
      </c>
      <c r="D144" s="12">
        <v>4704</v>
      </c>
      <c r="E144" s="13" t="s">
        <v>584</v>
      </c>
      <c r="F144" s="13" t="s">
        <v>585</v>
      </c>
      <c r="G144" s="13" t="s">
        <v>56</v>
      </c>
      <c r="H144" s="13"/>
      <c r="I144" s="12">
        <v>2025</v>
      </c>
      <c r="J144" s="13" t="s">
        <v>586</v>
      </c>
      <c r="K144" s="12">
        <v>9785961471380</v>
      </c>
      <c r="L144" s="13" t="s">
        <v>587</v>
      </c>
      <c r="M144" s="12">
        <v>478</v>
      </c>
      <c r="N144" s="14">
        <v>0.85</v>
      </c>
      <c r="O144" s="12">
        <v>171</v>
      </c>
      <c r="P144" s="12">
        <v>241</v>
      </c>
      <c r="Q144" s="12">
        <v>5</v>
      </c>
      <c r="R144" s="13" t="s">
        <v>94</v>
      </c>
      <c r="S144" s="13"/>
      <c r="T144" s="15">
        <v>1000</v>
      </c>
      <c r="U144" s="13" t="s">
        <v>52</v>
      </c>
      <c r="V144" s="13" t="s">
        <v>64</v>
      </c>
      <c r="W144" s="12">
        <v>10</v>
      </c>
      <c r="X144" s="33" t="str">
        <f>HYPERLINK("https://www.alpinabook.ru/catalog/book-nastolnaya-kniga-po-vnutrennemu-auditu","ссылка на книгу")</f>
        <v>ссылка на книгу</v>
      </c>
      <c r="Y144" s="34" t="str">
        <f>HYPERLINK("https://api-enni.alpina.ru/FilePrivilegesApproval/2","https://api-enni.alpina.ru/FilePrivilegesApproval/2")</f>
        <v>https://api-enni.alpina.ru/FilePrivilegesApproval/2</v>
      </c>
      <c r="Z144" s="13" t="s">
        <v>118</v>
      </c>
      <c r="AT144" s="1">
        <f t="shared" si="15"/>
        <v>0</v>
      </c>
      <c r="AU144" s="1">
        <f t="shared" si="16"/>
        <v>0</v>
      </c>
      <c r="AV144" s="1">
        <f t="shared" si="17"/>
        <v>0</v>
      </c>
      <c r="AW144" s="1">
        <f t="shared" si="18"/>
        <v>0</v>
      </c>
      <c r="AX144" s="1">
        <f t="shared" si="19"/>
        <v>0</v>
      </c>
    </row>
    <row r="145" spans="1:50" s="1" customFormat="1" ht="24.95" customHeight="1" outlineLevel="1" x14ac:dyDescent="0.2">
      <c r="A145" s="11"/>
      <c r="B145" s="12">
        <v>790</v>
      </c>
      <c r="C145" s="15">
        <v>1190</v>
      </c>
      <c r="D145" s="12">
        <v>12783</v>
      </c>
      <c r="E145" s="13" t="s">
        <v>588</v>
      </c>
      <c r="F145" s="13" t="s">
        <v>589</v>
      </c>
      <c r="G145" s="13" t="s">
        <v>56</v>
      </c>
      <c r="H145" s="13" t="s">
        <v>40</v>
      </c>
      <c r="I145" s="12">
        <v>2025</v>
      </c>
      <c r="J145" s="13" t="s">
        <v>590</v>
      </c>
      <c r="K145" s="12">
        <v>9785961431704</v>
      </c>
      <c r="L145" s="13" t="s">
        <v>591</v>
      </c>
      <c r="M145" s="12">
        <v>222</v>
      </c>
      <c r="N145" s="14">
        <v>0.4</v>
      </c>
      <c r="O145" s="12">
        <v>153</v>
      </c>
      <c r="P145" s="12">
        <v>216</v>
      </c>
      <c r="Q145" s="12">
        <v>10</v>
      </c>
      <c r="R145" s="13" t="s">
        <v>43</v>
      </c>
      <c r="S145" s="13"/>
      <c r="T145" s="15">
        <v>1000</v>
      </c>
      <c r="U145" s="13" t="s">
        <v>52</v>
      </c>
      <c r="V145" s="13" t="s">
        <v>59</v>
      </c>
      <c r="W145" s="12">
        <v>10</v>
      </c>
      <c r="X145" s="33" t="str">
        <f>HYPERLINK("https://www.alpinabook.ru/catalog/book-nauka-o-dannykh","ссылка на книгу")</f>
        <v>ссылка на книгу</v>
      </c>
      <c r="Y145" s="34" t="str">
        <f>HYPERLINK("https://api-enni.alpina.ru/FilePrivilegesApproval/140","https://api-enni.alpina.ru/FilePrivilegesApproval/140")</f>
        <v>https://api-enni.alpina.ru/FilePrivilegesApproval/140</v>
      </c>
      <c r="Z145" s="13" t="s">
        <v>282</v>
      </c>
      <c r="AT145" s="1">
        <f t="shared" si="15"/>
        <v>0</v>
      </c>
      <c r="AU145" s="1">
        <f t="shared" si="16"/>
        <v>0</v>
      </c>
      <c r="AV145" s="1">
        <f t="shared" si="17"/>
        <v>0</v>
      </c>
      <c r="AW145" s="1">
        <f t="shared" si="18"/>
        <v>0</v>
      </c>
      <c r="AX145" s="1">
        <f t="shared" si="19"/>
        <v>0</v>
      </c>
    </row>
    <row r="146" spans="1:50" s="1" customFormat="1" ht="24.95" customHeight="1" outlineLevel="1" x14ac:dyDescent="0.2">
      <c r="A146" s="11"/>
      <c r="B146" s="12">
        <v>450</v>
      </c>
      <c r="C146" s="12">
        <v>690</v>
      </c>
      <c r="D146" s="12">
        <v>9128</v>
      </c>
      <c r="E146" s="13" t="s">
        <v>592</v>
      </c>
      <c r="F146" s="13" t="s">
        <v>593</v>
      </c>
      <c r="G146" s="13" t="s">
        <v>86</v>
      </c>
      <c r="H146" s="13" t="s">
        <v>40</v>
      </c>
      <c r="I146" s="12">
        <v>2025</v>
      </c>
      <c r="J146" s="13" t="s">
        <v>594</v>
      </c>
      <c r="K146" s="12">
        <v>9785001390046</v>
      </c>
      <c r="L146" s="13" t="s">
        <v>595</v>
      </c>
      <c r="M146" s="12">
        <v>822</v>
      </c>
      <c r="N146" s="14">
        <v>0.52</v>
      </c>
      <c r="O146" s="12">
        <v>115</v>
      </c>
      <c r="P146" s="12">
        <v>165</v>
      </c>
      <c r="Q146" s="12">
        <v>8</v>
      </c>
      <c r="R146" s="13" t="s">
        <v>75</v>
      </c>
      <c r="S146" s="13" t="s">
        <v>596</v>
      </c>
      <c r="T146" s="15">
        <v>2000</v>
      </c>
      <c r="U146" s="13" t="s">
        <v>44</v>
      </c>
      <c r="V146" s="13" t="s">
        <v>45</v>
      </c>
      <c r="W146" s="12">
        <v>10</v>
      </c>
      <c r="X146" s="33" t="str">
        <f>HYPERLINK("https://www.alpinabook.ru/catalog/book-nachalo-beskonechnosti","ссылка на книгу")</f>
        <v>ссылка на книгу</v>
      </c>
      <c r="Y146" s="34" t="str">
        <f>HYPERLINK("https://api-enni.alpina.ru/FilePrivilegesApproval/146","https://api-enni.alpina.ru/FilePrivilegesApproval/146")</f>
        <v>https://api-enni.alpina.ru/FilePrivilegesApproval/146</v>
      </c>
      <c r="Z146" s="13" t="s">
        <v>308</v>
      </c>
      <c r="AT146" s="1">
        <f t="shared" si="15"/>
        <v>0</v>
      </c>
      <c r="AU146" s="1">
        <f t="shared" si="16"/>
        <v>0</v>
      </c>
      <c r="AV146" s="1">
        <f t="shared" si="17"/>
        <v>0</v>
      </c>
      <c r="AW146" s="1">
        <f t="shared" si="18"/>
        <v>0</v>
      </c>
      <c r="AX146" s="1">
        <f t="shared" si="19"/>
        <v>0</v>
      </c>
    </row>
    <row r="147" spans="1:50" s="1" customFormat="1" ht="21.95" customHeight="1" outlineLevel="1" x14ac:dyDescent="0.2">
      <c r="A147" s="11"/>
      <c r="B147" s="12">
        <v>640</v>
      </c>
      <c r="C147" s="12">
        <v>840</v>
      </c>
      <c r="D147" s="12">
        <v>26801</v>
      </c>
      <c r="E147" s="13" t="s">
        <v>597</v>
      </c>
      <c r="F147" s="13" t="s">
        <v>598</v>
      </c>
      <c r="G147" s="13" t="s">
        <v>56</v>
      </c>
      <c r="H147" s="13"/>
      <c r="I147" s="12">
        <v>2025</v>
      </c>
      <c r="J147" s="13" t="s">
        <v>599</v>
      </c>
      <c r="K147" s="12">
        <v>9785961482638</v>
      </c>
      <c r="L147" s="13" t="s">
        <v>600</v>
      </c>
      <c r="M147" s="12">
        <v>208</v>
      </c>
      <c r="N147" s="14">
        <v>0.33</v>
      </c>
      <c r="O147" s="12">
        <v>140</v>
      </c>
      <c r="P147" s="12">
        <v>210</v>
      </c>
      <c r="Q147" s="12">
        <v>16</v>
      </c>
      <c r="R147" s="13" t="s">
        <v>43</v>
      </c>
      <c r="S147" s="13"/>
      <c r="T147" s="15">
        <v>2000</v>
      </c>
      <c r="U147" s="13" t="s">
        <v>44</v>
      </c>
      <c r="V147" s="13" t="s">
        <v>45</v>
      </c>
      <c r="W147" s="12">
        <v>20</v>
      </c>
      <c r="X147" s="33" t="str">
        <f>HYPERLINK("https://www.alpinabook.ru/catalog/book-nash-god","ссылка на книгу")</f>
        <v>ссылка на книгу</v>
      </c>
      <c r="Y147" s="34" t="str">
        <f>HYPERLINK("","")</f>
        <v/>
      </c>
      <c r="Z147" s="13" t="s">
        <v>77</v>
      </c>
      <c r="AT147" s="1">
        <f t="shared" si="15"/>
        <v>0</v>
      </c>
      <c r="AU147" s="1">
        <f t="shared" si="16"/>
        <v>0</v>
      </c>
      <c r="AV147" s="1">
        <f t="shared" si="17"/>
        <v>0</v>
      </c>
      <c r="AW147" s="1">
        <f t="shared" si="18"/>
        <v>0</v>
      </c>
      <c r="AX147" s="1">
        <f t="shared" si="19"/>
        <v>0</v>
      </c>
    </row>
    <row r="148" spans="1:50" s="1" customFormat="1" ht="21.95" customHeight="1" outlineLevel="1" x14ac:dyDescent="0.2">
      <c r="A148" s="11"/>
      <c r="B148" s="12">
        <v>640</v>
      </c>
      <c r="C148" s="12">
        <v>840</v>
      </c>
      <c r="D148" s="12">
        <v>29476</v>
      </c>
      <c r="E148" s="13" t="s">
        <v>597</v>
      </c>
      <c r="F148" s="13" t="s">
        <v>601</v>
      </c>
      <c r="G148" s="13" t="s">
        <v>56</v>
      </c>
      <c r="H148" s="13"/>
      <c r="I148" s="12">
        <v>2025</v>
      </c>
      <c r="J148" s="13" t="s">
        <v>602</v>
      </c>
      <c r="K148" s="12">
        <v>9785961492743</v>
      </c>
      <c r="L148" s="13" t="s">
        <v>603</v>
      </c>
      <c r="M148" s="12">
        <v>208</v>
      </c>
      <c r="N148" s="14">
        <v>0.33</v>
      </c>
      <c r="O148" s="12">
        <v>140</v>
      </c>
      <c r="P148" s="12">
        <v>210</v>
      </c>
      <c r="Q148" s="12">
        <v>16</v>
      </c>
      <c r="R148" s="13" t="s">
        <v>43</v>
      </c>
      <c r="S148" s="13"/>
      <c r="T148" s="15">
        <v>1500</v>
      </c>
      <c r="U148" s="13" t="s">
        <v>604</v>
      </c>
      <c r="V148" s="13" t="s">
        <v>45</v>
      </c>
      <c r="W148" s="12">
        <v>20</v>
      </c>
      <c r="X148" s="33" t="str">
        <f>HYPERLINK("https://www.alpinabook.ru/catalog/book-nash-god","ссылка на книгу")</f>
        <v>ссылка на книгу</v>
      </c>
      <c r="Y148" s="34" t="str">
        <f>HYPERLINK("","")</f>
        <v/>
      </c>
      <c r="Z148" s="13" t="s">
        <v>70</v>
      </c>
      <c r="AT148" s="1">
        <f t="shared" si="15"/>
        <v>0</v>
      </c>
      <c r="AU148" s="1">
        <f t="shared" si="16"/>
        <v>0</v>
      </c>
      <c r="AV148" s="1">
        <f t="shared" si="17"/>
        <v>0</v>
      </c>
      <c r="AW148" s="1">
        <f t="shared" si="18"/>
        <v>0</v>
      </c>
      <c r="AX148" s="1">
        <f t="shared" si="19"/>
        <v>0</v>
      </c>
    </row>
    <row r="149" spans="1:50" s="1" customFormat="1" ht="24.95" customHeight="1" outlineLevel="1" x14ac:dyDescent="0.2">
      <c r="A149" s="11"/>
      <c r="B149" s="12">
        <v>590</v>
      </c>
      <c r="C149" s="12">
        <v>840</v>
      </c>
      <c r="D149" s="12">
        <v>12392</v>
      </c>
      <c r="E149" s="13" t="s">
        <v>605</v>
      </c>
      <c r="F149" s="13" t="s">
        <v>606</v>
      </c>
      <c r="G149" s="13" t="s">
        <v>56</v>
      </c>
      <c r="H149" s="13"/>
      <c r="I149" s="12">
        <v>2025</v>
      </c>
      <c r="J149" s="13" t="s">
        <v>607</v>
      </c>
      <c r="K149" s="12">
        <v>9785961425031</v>
      </c>
      <c r="L149" s="13" t="s">
        <v>608</v>
      </c>
      <c r="M149" s="12">
        <v>304</v>
      </c>
      <c r="N149" s="14">
        <v>0.45</v>
      </c>
      <c r="O149" s="12">
        <v>146</v>
      </c>
      <c r="P149" s="12">
        <v>216</v>
      </c>
      <c r="Q149" s="12">
        <v>5</v>
      </c>
      <c r="R149" s="13" t="s">
        <v>43</v>
      </c>
      <c r="S149" s="13"/>
      <c r="T149" s="15">
        <v>1000</v>
      </c>
      <c r="U149" s="13" t="s">
        <v>52</v>
      </c>
      <c r="V149" s="13" t="s">
        <v>45</v>
      </c>
      <c r="W149" s="12">
        <v>10</v>
      </c>
      <c r="X149" s="33" t="str">
        <f>HYPERLINK("https://www.alpinabook.ru/catalog/book-ni-khao","ссылка на книгу")</f>
        <v>ссылка на книгу</v>
      </c>
      <c r="Y149" s="34" t="str">
        <f>HYPERLINK("https://api-enni.alpina.ru/FilePrivilegesApproval/22","https://api-enni.alpina.ru/FilePrivilegesApproval/22")</f>
        <v>https://api-enni.alpina.ru/FilePrivilegesApproval/22</v>
      </c>
      <c r="Z149" s="13" t="s">
        <v>387</v>
      </c>
      <c r="AT149" s="1">
        <f t="shared" si="15"/>
        <v>0</v>
      </c>
      <c r="AU149" s="1">
        <f t="shared" si="16"/>
        <v>0</v>
      </c>
      <c r="AV149" s="1">
        <f t="shared" si="17"/>
        <v>0</v>
      </c>
      <c r="AW149" s="1">
        <f t="shared" si="18"/>
        <v>0</v>
      </c>
      <c r="AX149" s="1">
        <f t="shared" si="19"/>
        <v>0</v>
      </c>
    </row>
    <row r="150" spans="1:50" s="1" customFormat="1" ht="24.95" customHeight="1" outlineLevel="1" x14ac:dyDescent="0.2">
      <c r="A150" s="11"/>
      <c r="B150" s="12">
        <v>790</v>
      </c>
      <c r="C150" s="15">
        <v>1190</v>
      </c>
      <c r="D150" s="12">
        <v>19405</v>
      </c>
      <c r="E150" s="13" t="s">
        <v>609</v>
      </c>
      <c r="F150" s="13" t="s">
        <v>610</v>
      </c>
      <c r="G150" s="13" t="s">
        <v>56</v>
      </c>
      <c r="H150" s="13"/>
      <c r="I150" s="12">
        <v>2025</v>
      </c>
      <c r="J150" s="13" t="s">
        <v>611</v>
      </c>
      <c r="K150" s="12">
        <v>9785961459708</v>
      </c>
      <c r="L150" s="13" t="s">
        <v>612</v>
      </c>
      <c r="M150" s="12">
        <v>471</v>
      </c>
      <c r="N150" s="14">
        <v>0.64</v>
      </c>
      <c r="O150" s="12">
        <v>150</v>
      </c>
      <c r="P150" s="12">
        <v>220</v>
      </c>
      <c r="Q150" s="12">
        <v>5</v>
      </c>
      <c r="R150" s="13" t="s">
        <v>43</v>
      </c>
      <c r="S150" s="13" t="s">
        <v>613</v>
      </c>
      <c r="T150" s="15">
        <v>1000</v>
      </c>
      <c r="U150" s="13" t="s">
        <v>52</v>
      </c>
      <c r="V150" s="13" t="s">
        <v>59</v>
      </c>
      <c r="W150" s="12">
        <v>10</v>
      </c>
      <c r="X150" s="33" t="str">
        <f>HYPERLINK("https://www.alpinabook.ru/catalog/book-novyy-balans-sil","ссылка на книгу")</f>
        <v>ссылка на книгу</v>
      </c>
      <c r="Y150" s="34" t="str">
        <f>HYPERLINK("https://api-enni.alpina.ru/FilePrivilegesApproval/115","https://api-enni.alpina.ru/FilePrivilegesApproval/115")</f>
        <v>https://api-enni.alpina.ru/FilePrivilegesApproval/115</v>
      </c>
      <c r="Z150" s="13" t="s">
        <v>118</v>
      </c>
      <c r="AT150" s="1">
        <f t="shared" si="15"/>
        <v>0</v>
      </c>
      <c r="AU150" s="1">
        <f t="shared" si="16"/>
        <v>0</v>
      </c>
      <c r="AV150" s="1">
        <f t="shared" si="17"/>
        <v>0</v>
      </c>
      <c r="AW150" s="1">
        <f t="shared" si="18"/>
        <v>0</v>
      </c>
      <c r="AX150" s="1">
        <f t="shared" si="19"/>
        <v>0</v>
      </c>
    </row>
    <row r="151" spans="1:50" s="1" customFormat="1" ht="24.95" customHeight="1" outlineLevel="1" x14ac:dyDescent="0.2">
      <c r="A151" s="11"/>
      <c r="B151" s="12">
        <v>990</v>
      </c>
      <c r="C151" s="15">
        <v>1490</v>
      </c>
      <c r="D151" s="12">
        <v>28425</v>
      </c>
      <c r="E151" s="13" t="s">
        <v>614</v>
      </c>
      <c r="F151" s="13" t="s">
        <v>615</v>
      </c>
      <c r="G151" s="13" t="s">
        <v>56</v>
      </c>
      <c r="H151" s="13"/>
      <c r="I151" s="12">
        <v>2025</v>
      </c>
      <c r="J151" s="13" t="s">
        <v>616</v>
      </c>
      <c r="K151" s="12">
        <v>9785961488920</v>
      </c>
      <c r="L151" s="13" t="s">
        <v>617</v>
      </c>
      <c r="M151" s="12">
        <v>362</v>
      </c>
      <c r="N151" s="14">
        <v>0.59</v>
      </c>
      <c r="O151" s="12">
        <v>160</v>
      </c>
      <c r="P151" s="12">
        <v>220</v>
      </c>
      <c r="Q151" s="12">
        <v>6</v>
      </c>
      <c r="R151" s="13" t="s">
        <v>43</v>
      </c>
      <c r="S151" s="13"/>
      <c r="T151" s="15">
        <v>1500</v>
      </c>
      <c r="U151" s="13" t="s">
        <v>44</v>
      </c>
      <c r="V151" s="13" t="s">
        <v>64</v>
      </c>
      <c r="W151" s="12">
        <v>10</v>
      </c>
      <c r="X151" s="33" t="str">
        <f>HYPERLINK("https://www.alpinabook.ru/catalog/book-normalno-o-kosmetike","ссылка на книгу")</f>
        <v>ссылка на книгу</v>
      </c>
      <c r="Y151" s="34" t="str">
        <f>HYPERLINK("https://api-enni.alpina.ru/FilePrivilegesApproval/264","https://api-enni.alpina.ru/FilePrivilegesApproval/264")</f>
        <v>https://api-enni.alpina.ru/FilePrivilegesApproval/264</v>
      </c>
      <c r="Z151" s="13" t="s">
        <v>387</v>
      </c>
      <c r="AT151" s="1">
        <f t="shared" si="15"/>
        <v>0</v>
      </c>
      <c r="AU151" s="1">
        <f t="shared" si="16"/>
        <v>0</v>
      </c>
      <c r="AV151" s="1">
        <f t="shared" si="17"/>
        <v>0</v>
      </c>
      <c r="AW151" s="1">
        <f t="shared" si="18"/>
        <v>0</v>
      </c>
      <c r="AX151" s="1">
        <f t="shared" si="19"/>
        <v>0</v>
      </c>
    </row>
    <row r="152" spans="1:50" s="1" customFormat="1" ht="24.95" customHeight="1" outlineLevel="1" x14ac:dyDescent="0.2">
      <c r="A152" s="11"/>
      <c r="B152" s="12">
        <v>790</v>
      </c>
      <c r="C152" s="12">
        <v>990</v>
      </c>
      <c r="D152" s="12">
        <v>28842</v>
      </c>
      <c r="E152" s="13" t="s">
        <v>618</v>
      </c>
      <c r="F152" s="13" t="s">
        <v>619</v>
      </c>
      <c r="G152" s="13" t="s">
        <v>56</v>
      </c>
      <c r="H152" s="13"/>
      <c r="I152" s="12">
        <v>2025</v>
      </c>
      <c r="J152" s="13" t="s">
        <v>620</v>
      </c>
      <c r="K152" s="12">
        <v>9785961490268</v>
      </c>
      <c r="L152" s="13" t="s">
        <v>621</v>
      </c>
      <c r="M152" s="12">
        <v>588</v>
      </c>
      <c r="N152" s="14">
        <v>0.93</v>
      </c>
      <c r="O152" s="12">
        <v>170</v>
      </c>
      <c r="P152" s="12">
        <v>240</v>
      </c>
      <c r="Q152" s="12">
        <v>6</v>
      </c>
      <c r="R152" s="13" t="s">
        <v>94</v>
      </c>
      <c r="S152" s="13"/>
      <c r="T152" s="15">
        <v>10000</v>
      </c>
      <c r="U152" s="13" t="s">
        <v>44</v>
      </c>
      <c r="V152" s="13" t="s">
        <v>45</v>
      </c>
      <c r="W152" s="12">
        <v>10</v>
      </c>
      <c r="X152" s="33" t="str">
        <f>HYPERLINK("https://www.alpinabook.ru/catalog/book-odin-na-odin-s-zhiznyu","ссылка на книгу")</f>
        <v>ссылка на книгу</v>
      </c>
      <c r="Y152" s="34" t="str">
        <f>HYPERLINK("https://api-enni.alpina.ru/FilePrivilegesApproval/336","https://api-enni.alpina.ru/FilePrivilegesApproval/336")</f>
        <v>https://api-enni.alpina.ru/FilePrivilegesApproval/336</v>
      </c>
      <c r="Z152" s="13" t="s">
        <v>343</v>
      </c>
      <c r="AT152" s="1">
        <f t="shared" si="15"/>
        <v>0</v>
      </c>
      <c r="AU152" s="1">
        <f t="shared" si="16"/>
        <v>0</v>
      </c>
      <c r="AV152" s="1">
        <f t="shared" si="17"/>
        <v>0</v>
      </c>
      <c r="AW152" s="1">
        <f t="shared" si="18"/>
        <v>0</v>
      </c>
      <c r="AX152" s="1">
        <f t="shared" si="19"/>
        <v>0</v>
      </c>
    </row>
    <row r="153" spans="1:50" s="1" customFormat="1" ht="24.95" customHeight="1" outlineLevel="1" x14ac:dyDescent="0.2">
      <c r="A153" s="11"/>
      <c r="B153" s="12">
        <v>530</v>
      </c>
      <c r="C153" s="12">
        <v>790</v>
      </c>
      <c r="D153" s="12">
        <v>4289</v>
      </c>
      <c r="E153" s="13" t="s">
        <v>622</v>
      </c>
      <c r="F153" s="13" t="s">
        <v>623</v>
      </c>
      <c r="G153" s="13" t="s">
        <v>56</v>
      </c>
      <c r="H153" s="13" t="s">
        <v>40</v>
      </c>
      <c r="I153" s="12">
        <v>2025</v>
      </c>
      <c r="J153" s="13" t="s">
        <v>624</v>
      </c>
      <c r="K153" s="12">
        <v>9785961447866</v>
      </c>
      <c r="L153" s="13" t="s">
        <v>625</v>
      </c>
      <c r="M153" s="12">
        <v>192</v>
      </c>
      <c r="N153" s="14">
        <v>0.34</v>
      </c>
      <c r="O153" s="12">
        <v>150</v>
      </c>
      <c r="P153" s="12">
        <v>220</v>
      </c>
      <c r="Q153" s="12">
        <v>10</v>
      </c>
      <c r="R153" s="13" t="s">
        <v>43</v>
      </c>
      <c r="S153" s="13"/>
      <c r="T153" s="15">
        <v>1000</v>
      </c>
      <c r="U153" s="13" t="s">
        <v>52</v>
      </c>
      <c r="V153" s="13" t="s">
        <v>64</v>
      </c>
      <c r="W153" s="12">
        <v>10</v>
      </c>
      <c r="X153" s="33" t="str">
        <f>HYPERLINK("https://www.alpinabook.ru/catalog/book-operezhayushchee-myshlenie","ссылка на книгу")</f>
        <v>ссылка на книгу</v>
      </c>
      <c r="Y153" s="34" t="str">
        <f>HYPERLINK("https://api-enni.alpina.ru/FilePrivilegesApproval/156","https://api-enni.alpina.ru/FilePrivilegesApproval/156")</f>
        <v>https://api-enni.alpina.ru/FilePrivilegesApproval/156</v>
      </c>
      <c r="Z153" s="13" t="s">
        <v>65</v>
      </c>
      <c r="AT153" s="1">
        <f t="shared" si="15"/>
        <v>0</v>
      </c>
      <c r="AU153" s="1">
        <f t="shared" si="16"/>
        <v>0</v>
      </c>
      <c r="AV153" s="1">
        <f t="shared" si="17"/>
        <v>0</v>
      </c>
      <c r="AW153" s="1">
        <f t="shared" si="18"/>
        <v>0</v>
      </c>
      <c r="AX153" s="1">
        <f t="shared" si="19"/>
        <v>0</v>
      </c>
    </row>
    <row r="154" spans="1:50" s="1" customFormat="1" ht="24.95" customHeight="1" outlineLevel="1" x14ac:dyDescent="0.2">
      <c r="A154" s="11"/>
      <c r="B154" s="12">
        <v>590</v>
      </c>
      <c r="C154" s="12">
        <v>840</v>
      </c>
      <c r="D154" s="12">
        <v>12807</v>
      </c>
      <c r="E154" s="13" t="s">
        <v>626</v>
      </c>
      <c r="F154" s="13" t="s">
        <v>627</v>
      </c>
      <c r="G154" s="13" t="s">
        <v>56</v>
      </c>
      <c r="H154" s="13" t="s">
        <v>40</v>
      </c>
      <c r="I154" s="12">
        <v>2025</v>
      </c>
      <c r="J154" s="13" t="s">
        <v>628</v>
      </c>
      <c r="K154" s="12">
        <v>9785961431421</v>
      </c>
      <c r="L154" s="13" t="s">
        <v>629</v>
      </c>
      <c r="M154" s="12">
        <v>312</v>
      </c>
      <c r="N154" s="14">
        <v>0.47</v>
      </c>
      <c r="O154" s="12">
        <v>150</v>
      </c>
      <c r="P154" s="12">
        <v>220</v>
      </c>
      <c r="Q154" s="12">
        <v>55</v>
      </c>
      <c r="R154" s="13" t="s">
        <v>43</v>
      </c>
      <c r="S154" s="13"/>
      <c r="T154" s="15">
        <v>1000</v>
      </c>
      <c r="U154" s="13" t="s">
        <v>52</v>
      </c>
      <c r="V154" s="13" t="s">
        <v>45</v>
      </c>
      <c r="W154" s="12">
        <v>10</v>
      </c>
      <c r="X154" s="33" t="str">
        <f>HYPERLINK("https://www.alpinabook.ru/catalog/book-pisma-bezosa","ссылка на книгу")</f>
        <v>ссылка на книгу</v>
      </c>
      <c r="Y154" s="34" t="str">
        <f>HYPERLINK("https://api-enni.alpina.ru/FilePrivilegesApproval/37","https://api-enni.alpina.ru/FilePrivilegesApproval/37")</f>
        <v>https://api-enni.alpina.ru/FilePrivilegesApproval/37</v>
      </c>
      <c r="Z154" s="13" t="s">
        <v>65</v>
      </c>
      <c r="AT154" s="1">
        <f t="shared" si="15"/>
        <v>0</v>
      </c>
      <c r="AU154" s="1">
        <f t="shared" si="16"/>
        <v>0</v>
      </c>
      <c r="AV154" s="1">
        <f t="shared" si="17"/>
        <v>0</v>
      </c>
      <c r="AW154" s="1">
        <f t="shared" si="18"/>
        <v>0</v>
      </c>
      <c r="AX154" s="1">
        <f t="shared" si="19"/>
        <v>0</v>
      </c>
    </row>
    <row r="155" spans="1:50" s="1" customFormat="1" ht="24.95" customHeight="1" outlineLevel="1" x14ac:dyDescent="0.2">
      <c r="A155" s="11"/>
      <c r="B155" s="12">
        <v>690</v>
      </c>
      <c r="C155" s="12">
        <v>990</v>
      </c>
      <c r="D155" s="12">
        <v>18834</v>
      </c>
      <c r="E155" s="13" t="s">
        <v>630</v>
      </c>
      <c r="F155" s="13" t="s">
        <v>631</v>
      </c>
      <c r="G155" s="13" t="s">
        <v>86</v>
      </c>
      <c r="H155" s="13" t="s">
        <v>40</v>
      </c>
      <c r="I155" s="12">
        <v>2025</v>
      </c>
      <c r="J155" s="13" t="s">
        <v>632</v>
      </c>
      <c r="K155" s="12">
        <v>9785001395454</v>
      </c>
      <c r="L155" s="13" t="s">
        <v>633</v>
      </c>
      <c r="M155" s="12">
        <v>190</v>
      </c>
      <c r="N155" s="14">
        <v>0.28000000000000003</v>
      </c>
      <c r="O155" s="12">
        <v>150</v>
      </c>
      <c r="P155" s="12">
        <v>220</v>
      </c>
      <c r="Q155" s="12">
        <v>10</v>
      </c>
      <c r="R155" s="13" t="s">
        <v>82</v>
      </c>
      <c r="S155" s="13"/>
      <c r="T155" s="15">
        <v>1000</v>
      </c>
      <c r="U155" s="13" t="s">
        <v>52</v>
      </c>
      <c r="V155" s="13" t="s">
        <v>59</v>
      </c>
      <c r="W155" s="12">
        <v>10</v>
      </c>
      <c r="X155" s="33" t="str">
        <f>HYPERLINK("https://www.alpinabook.ru/catalog/book-planeta-virusov","ссылка на книгу")</f>
        <v>ссылка на книгу</v>
      </c>
      <c r="Y155" s="34" t="str">
        <f>HYPERLINK("https://api-enni.alpina.ru/FilePrivilegesApproval/185","https://api-enni.alpina.ru/FilePrivilegesApproval/185")</f>
        <v>https://api-enni.alpina.ru/FilePrivilegesApproval/185</v>
      </c>
      <c r="Z155" s="13" t="s">
        <v>65</v>
      </c>
      <c r="AT155" s="1">
        <f t="shared" si="15"/>
        <v>0</v>
      </c>
      <c r="AU155" s="1">
        <f t="shared" si="16"/>
        <v>0</v>
      </c>
      <c r="AV155" s="1">
        <f t="shared" si="17"/>
        <v>0</v>
      </c>
      <c r="AW155" s="1">
        <f t="shared" si="18"/>
        <v>0</v>
      </c>
      <c r="AX155" s="1">
        <f t="shared" si="19"/>
        <v>0</v>
      </c>
    </row>
    <row r="156" spans="1:50" s="1" customFormat="1" ht="24.95" customHeight="1" outlineLevel="1" x14ac:dyDescent="0.2">
      <c r="A156" s="11"/>
      <c r="B156" s="12">
        <v>790</v>
      </c>
      <c r="C156" s="15">
        <v>1190</v>
      </c>
      <c r="D156" s="12">
        <v>8737</v>
      </c>
      <c r="E156" s="13" t="s">
        <v>634</v>
      </c>
      <c r="F156" s="13" t="s">
        <v>635</v>
      </c>
      <c r="G156" s="13" t="s">
        <v>56</v>
      </c>
      <c r="H156" s="13" t="s">
        <v>40</v>
      </c>
      <c r="I156" s="12">
        <v>2025</v>
      </c>
      <c r="J156" s="13" t="s">
        <v>636</v>
      </c>
      <c r="K156" s="12">
        <v>9785961412451</v>
      </c>
      <c r="L156" s="13" t="s">
        <v>637</v>
      </c>
      <c r="M156" s="12">
        <v>288</v>
      </c>
      <c r="N156" s="14">
        <v>0.56999999999999995</v>
      </c>
      <c r="O156" s="12">
        <v>171</v>
      </c>
      <c r="P156" s="12">
        <v>241</v>
      </c>
      <c r="Q156" s="12">
        <v>5</v>
      </c>
      <c r="R156" s="13" t="s">
        <v>94</v>
      </c>
      <c r="S156" s="13"/>
      <c r="T156" s="15">
        <v>1000</v>
      </c>
      <c r="U156" s="13" t="s">
        <v>52</v>
      </c>
      <c r="V156" s="13" t="s">
        <v>64</v>
      </c>
      <c r="W156" s="12">
        <v>10</v>
      </c>
      <c r="X156" s="33" t="str">
        <f>HYPERLINK("https://www.alpinabook.ru/catalog/book-platforma","ссылка на книгу")</f>
        <v>ссылка на книгу</v>
      </c>
      <c r="Y156" s="34" t="str">
        <f>HYPERLINK("https://api-enni.alpina.ru/FilePrivilegesApproval/152","https://api-enni.alpina.ru/FilePrivilegesApproval/152")</f>
        <v>https://api-enni.alpina.ru/FilePrivilegesApproval/152</v>
      </c>
      <c r="Z156" s="13" t="s">
        <v>282</v>
      </c>
      <c r="AT156" s="1">
        <f t="shared" si="15"/>
        <v>0</v>
      </c>
      <c r="AU156" s="1">
        <f t="shared" si="16"/>
        <v>0</v>
      </c>
      <c r="AV156" s="1">
        <f t="shared" si="17"/>
        <v>0</v>
      </c>
      <c r="AW156" s="1">
        <f t="shared" si="18"/>
        <v>0</v>
      </c>
      <c r="AX156" s="1">
        <f t="shared" si="19"/>
        <v>0</v>
      </c>
    </row>
    <row r="157" spans="1:50" s="1" customFormat="1" ht="24.95" customHeight="1" outlineLevel="1" x14ac:dyDescent="0.2">
      <c r="A157" s="11"/>
      <c r="B157" s="12">
        <v>790</v>
      </c>
      <c r="C157" s="15">
        <v>1190</v>
      </c>
      <c r="D157" s="12">
        <v>23300</v>
      </c>
      <c r="E157" s="13" t="s">
        <v>638</v>
      </c>
      <c r="F157" s="13" t="s">
        <v>639</v>
      </c>
      <c r="G157" s="13" t="s">
        <v>56</v>
      </c>
      <c r="H157" s="13" t="s">
        <v>40</v>
      </c>
      <c r="I157" s="12">
        <v>2025</v>
      </c>
      <c r="J157" s="13" t="s">
        <v>640</v>
      </c>
      <c r="K157" s="12">
        <v>9785961472066</v>
      </c>
      <c r="L157" s="13" t="s">
        <v>641</v>
      </c>
      <c r="M157" s="12">
        <v>338</v>
      </c>
      <c r="N157" s="14">
        <v>0.7</v>
      </c>
      <c r="O157" s="12">
        <v>170</v>
      </c>
      <c r="P157" s="12">
        <v>250</v>
      </c>
      <c r="Q157" s="12">
        <v>5</v>
      </c>
      <c r="R157" s="13" t="s">
        <v>94</v>
      </c>
      <c r="S157" s="13"/>
      <c r="T157" s="15">
        <v>1000</v>
      </c>
      <c r="U157" s="13" t="s">
        <v>52</v>
      </c>
      <c r="V157" s="13" t="s">
        <v>59</v>
      </c>
      <c r="W157" s="12">
        <v>10</v>
      </c>
      <c r="X157" s="33" t="str">
        <f>HYPERLINK("","ссылка на книгу")</f>
        <v>ссылка на книгу</v>
      </c>
      <c r="Y157" s="34" t="str">
        <f>HYPERLINK("https://api-enni.alpina.ru/FilePrivilegesApproval/152","https://api-enni.alpina.ru/FilePrivilegesApproval/152")</f>
        <v>https://api-enni.alpina.ru/FilePrivilegesApproval/152</v>
      </c>
      <c r="Z157" s="13" t="s">
        <v>101</v>
      </c>
      <c r="AT157" s="1">
        <f t="shared" ref="AT157:AT188" si="20">IF($A157&lt;&gt;0,1,0)</f>
        <v>0</v>
      </c>
      <c r="AU157" s="1">
        <f t="shared" ref="AU157:AU188" si="21">$A157*$B157</f>
        <v>0</v>
      </c>
      <c r="AV157" s="1">
        <f t="shared" ref="AV157:AV188" si="22">$A157*$N157</f>
        <v>0</v>
      </c>
      <c r="AW157" s="1">
        <f t="shared" ref="AW157:AW188" si="23">IF($Q157=0,0,INT($A157/$Q157))</f>
        <v>0</v>
      </c>
      <c r="AX157" s="1">
        <f t="shared" ref="AX157:AX188" si="24">$A157-$AW157*$Q157</f>
        <v>0</v>
      </c>
    </row>
    <row r="158" spans="1:50" s="1" customFormat="1" ht="24.95" customHeight="1" outlineLevel="1" x14ac:dyDescent="0.2">
      <c r="A158" s="11"/>
      <c r="B158" s="12">
        <v>690</v>
      </c>
      <c r="C158" s="12">
        <v>690</v>
      </c>
      <c r="D158" s="12">
        <v>12696</v>
      </c>
      <c r="E158" s="13" t="s">
        <v>642</v>
      </c>
      <c r="F158" s="13" t="s">
        <v>643</v>
      </c>
      <c r="G158" s="13" t="s">
        <v>56</v>
      </c>
      <c r="H158" s="13" t="s">
        <v>40</v>
      </c>
      <c r="I158" s="12">
        <v>2025</v>
      </c>
      <c r="J158" s="13" t="s">
        <v>644</v>
      </c>
      <c r="K158" s="12">
        <v>9785961442182</v>
      </c>
      <c r="L158" s="13" t="s">
        <v>645</v>
      </c>
      <c r="M158" s="12">
        <v>568</v>
      </c>
      <c r="N158" s="14">
        <v>0.75</v>
      </c>
      <c r="O158" s="12">
        <v>146</v>
      </c>
      <c r="P158" s="12">
        <v>216</v>
      </c>
      <c r="Q158" s="12">
        <v>4</v>
      </c>
      <c r="R158" s="13" t="s">
        <v>43</v>
      </c>
      <c r="S158" s="13"/>
      <c r="T158" s="15">
        <v>1000</v>
      </c>
      <c r="U158" s="13" t="s">
        <v>52</v>
      </c>
      <c r="V158" s="13" t="s">
        <v>64</v>
      </c>
      <c r="W158" s="12">
        <v>10</v>
      </c>
      <c r="X158" s="33" t="str">
        <f>HYPERLINK("https://www.alpinabook.ru/catalog/book-pozhaleyte-chitatelya","ссылка на книгу")</f>
        <v>ссылка на книгу</v>
      </c>
      <c r="Y158" s="34" t="str">
        <f>HYPERLINK("https://api-enni.alpina.ru/FilePrivilegesApproval/140","https://api-enni.alpina.ru/FilePrivilegesApproval/140")</f>
        <v>https://api-enni.alpina.ru/FilePrivilegesApproval/140</v>
      </c>
      <c r="Z158" s="13" t="s">
        <v>431</v>
      </c>
      <c r="AT158" s="1">
        <f t="shared" si="20"/>
        <v>0</v>
      </c>
      <c r="AU158" s="1">
        <f t="shared" si="21"/>
        <v>0</v>
      </c>
      <c r="AV158" s="1">
        <f t="shared" si="22"/>
        <v>0</v>
      </c>
      <c r="AW158" s="1">
        <f t="shared" si="23"/>
        <v>0</v>
      </c>
      <c r="AX158" s="1">
        <f t="shared" si="24"/>
        <v>0</v>
      </c>
    </row>
    <row r="159" spans="1:50" s="1" customFormat="1" ht="24.95" customHeight="1" outlineLevel="1" x14ac:dyDescent="0.2">
      <c r="A159" s="11"/>
      <c r="B159" s="12">
        <v>530</v>
      </c>
      <c r="C159" s="12">
        <v>790</v>
      </c>
      <c r="D159" s="12">
        <v>27543</v>
      </c>
      <c r="E159" s="13" t="s">
        <v>510</v>
      </c>
      <c r="F159" s="13" t="s">
        <v>646</v>
      </c>
      <c r="G159" s="13" t="s">
        <v>56</v>
      </c>
      <c r="H159" s="13"/>
      <c r="I159" s="12">
        <v>2025</v>
      </c>
      <c r="J159" s="13" t="s">
        <v>647</v>
      </c>
      <c r="K159" s="12">
        <v>9785961485684</v>
      </c>
      <c r="L159" s="13" t="s">
        <v>648</v>
      </c>
      <c r="M159" s="12">
        <v>148</v>
      </c>
      <c r="N159" s="14">
        <v>0.2</v>
      </c>
      <c r="O159" s="12">
        <v>150</v>
      </c>
      <c r="P159" s="12">
        <v>210</v>
      </c>
      <c r="Q159" s="12">
        <v>20</v>
      </c>
      <c r="R159" s="13" t="s">
        <v>43</v>
      </c>
      <c r="S159" s="13"/>
      <c r="T159" s="15">
        <v>1000</v>
      </c>
      <c r="U159" s="13" t="s">
        <v>44</v>
      </c>
      <c r="V159" s="13" t="s">
        <v>64</v>
      </c>
      <c r="W159" s="12">
        <v>10</v>
      </c>
      <c r="X159" s="33" t="str">
        <f>HYPERLINK("https://www.alpinabook.ru/catalog/book-poisk-i-otsenka-lineynogo-personala","ссылка на книгу")</f>
        <v>ссылка на книгу</v>
      </c>
      <c r="Y159" s="34" t="str">
        <f>HYPERLINK("https://api-enni.alpina.ru/FilePrivilegesApproval/202","https://api-enni.alpina.ru/FilePrivilegesApproval/202")</f>
        <v>https://api-enni.alpina.ru/FilePrivilegesApproval/202</v>
      </c>
      <c r="Z159" s="13" t="s">
        <v>77</v>
      </c>
      <c r="AT159" s="1">
        <f t="shared" si="20"/>
        <v>0</v>
      </c>
      <c r="AU159" s="1">
        <f t="shared" si="21"/>
        <v>0</v>
      </c>
      <c r="AV159" s="1">
        <f t="shared" si="22"/>
        <v>0</v>
      </c>
      <c r="AW159" s="1">
        <f t="shared" si="23"/>
        <v>0</v>
      </c>
      <c r="AX159" s="1">
        <f t="shared" si="24"/>
        <v>0</v>
      </c>
    </row>
    <row r="160" spans="1:50" s="1" customFormat="1" ht="24.95" customHeight="1" outlineLevel="1" x14ac:dyDescent="0.2">
      <c r="A160" s="11"/>
      <c r="B160" s="12">
        <v>590</v>
      </c>
      <c r="C160" s="12">
        <v>840</v>
      </c>
      <c r="D160" s="12">
        <v>23434</v>
      </c>
      <c r="E160" s="13" t="s">
        <v>649</v>
      </c>
      <c r="F160" s="13" t="s">
        <v>650</v>
      </c>
      <c r="G160" s="13" t="s">
        <v>56</v>
      </c>
      <c r="H160" s="13"/>
      <c r="I160" s="12">
        <v>2025</v>
      </c>
      <c r="J160" s="13" t="s">
        <v>651</v>
      </c>
      <c r="K160" s="12">
        <v>9785961472554</v>
      </c>
      <c r="L160" s="13" t="s">
        <v>652</v>
      </c>
      <c r="M160" s="12">
        <v>221</v>
      </c>
      <c r="N160" s="14">
        <v>0.28999999999999998</v>
      </c>
      <c r="O160" s="12">
        <v>140</v>
      </c>
      <c r="P160" s="12">
        <v>210</v>
      </c>
      <c r="Q160" s="12">
        <v>20</v>
      </c>
      <c r="R160" s="13" t="s">
        <v>43</v>
      </c>
      <c r="S160" s="13"/>
      <c r="T160" s="15">
        <v>5000</v>
      </c>
      <c r="U160" s="13" t="s">
        <v>44</v>
      </c>
      <c r="V160" s="13" t="s">
        <v>59</v>
      </c>
      <c r="W160" s="12">
        <v>10</v>
      </c>
      <c r="X160" s="33" t="str">
        <f>HYPERLINK("https://www.alpinabook.ru/catalog/book-poka-mne-ne-ispolnilos-30","ссылка на книгу")</f>
        <v>ссылка на книгу</v>
      </c>
      <c r="Y160" s="34" t="str">
        <f>HYPERLINK("https://api-enni.alpina.ru/FilePrivilegesApproval/128","https://api-enni.alpina.ru/FilePrivilegesApproval/128")</f>
        <v>https://api-enni.alpina.ru/FilePrivilegesApproval/128</v>
      </c>
      <c r="Z160" s="13" t="s">
        <v>374</v>
      </c>
      <c r="AT160" s="1">
        <f t="shared" si="20"/>
        <v>0</v>
      </c>
      <c r="AU160" s="1">
        <f t="shared" si="21"/>
        <v>0</v>
      </c>
      <c r="AV160" s="1">
        <f t="shared" si="22"/>
        <v>0</v>
      </c>
      <c r="AW160" s="1">
        <f t="shared" si="23"/>
        <v>0</v>
      </c>
      <c r="AX160" s="1">
        <f t="shared" si="24"/>
        <v>0</v>
      </c>
    </row>
    <row r="161" spans="1:50" s="1" customFormat="1" ht="24.95" customHeight="1" outlineLevel="1" x14ac:dyDescent="0.2">
      <c r="A161" s="11"/>
      <c r="B161" s="12">
        <v>590</v>
      </c>
      <c r="C161" s="12">
        <v>840</v>
      </c>
      <c r="D161" s="12">
        <v>23666</v>
      </c>
      <c r="E161" s="13" t="s">
        <v>653</v>
      </c>
      <c r="F161" s="13" t="s">
        <v>654</v>
      </c>
      <c r="G161" s="13" t="s">
        <v>56</v>
      </c>
      <c r="H161" s="13"/>
      <c r="I161" s="12">
        <v>2025</v>
      </c>
      <c r="J161" s="13" t="s">
        <v>655</v>
      </c>
      <c r="K161" s="12">
        <v>9785961473094</v>
      </c>
      <c r="L161" s="13" t="s">
        <v>656</v>
      </c>
      <c r="M161" s="12">
        <v>192</v>
      </c>
      <c r="N161" s="14">
        <v>0.36</v>
      </c>
      <c r="O161" s="12">
        <v>160</v>
      </c>
      <c r="P161" s="12">
        <v>220</v>
      </c>
      <c r="Q161" s="12">
        <v>10</v>
      </c>
      <c r="R161" s="13" t="s">
        <v>100</v>
      </c>
      <c r="S161" s="13"/>
      <c r="T161" s="15">
        <v>2000</v>
      </c>
      <c r="U161" s="13" t="s">
        <v>44</v>
      </c>
      <c r="V161" s="13" t="s">
        <v>59</v>
      </c>
      <c r="W161" s="12">
        <v>10</v>
      </c>
      <c r="X161" s="33" t="str">
        <f>HYPERLINK("https://www.alpinabook.ru/catalog/book-poleznaya-samorefleksiya","ссылка на книгу")</f>
        <v>ссылка на книгу</v>
      </c>
      <c r="Y161" s="34" t="str">
        <f>HYPERLINK("https://api-enni.alpina.ru/FilePrivilegesApproval/156","https://api-enni.alpina.ru/FilePrivilegesApproval/156")</f>
        <v>https://api-enni.alpina.ru/FilePrivilegesApproval/156</v>
      </c>
      <c r="Z161" s="13" t="s">
        <v>53</v>
      </c>
      <c r="AT161" s="1">
        <f t="shared" si="20"/>
        <v>0</v>
      </c>
      <c r="AU161" s="1">
        <f t="shared" si="21"/>
        <v>0</v>
      </c>
      <c r="AV161" s="1">
        <f t="shared" si="22"/>
        <v>0</v>
      </c>
      <c r="AW161" s="1">
        <f t="shared" si="23"/>
        <v>0</v>
      </c>
      <c r="AX161" s="1">
        <f t="shared" si="24"/>
        <v>0</v>
      </c>
    </row>
    <row r="162" spans="1:50" s="1" customFormat="1" ht="24.95" customHeight="1" outlineLevel="1" x14ac:dyDescent="0.2">
      <c r="A162" s="11"/>
      <c r="B162" s="12">
        <v>290</v>
      </c>
      <c r="C162" s="12">
        <v>440</v>
      </c>
      <c r="D162" s="12">
        <v>30694</v>
      </c>
      <c r="E162" s="13" t="s">
        <v>657</v>
      </c>
      <c r="F162" s="13" t="s">
        <v>658</v>
      </c>
      <c r="G162" s="13" t="s">
        <v>56</v>
      </c>
      <c r="H162" s="13" t="s">
        <v>40</v>
      </c>
      <c r="I162" s="12">
        <v>2025</v>
      </c>
      <c r="J162" s="13" t="s">
        <v>659</v>
      </c>
      <c r="K162" s="12">
        <v>9785961496185</v>
      </c>
      <c r="L162" s="13" t="s">
        <v>660</v>
      </c>
      <c r="M162" s="12">
        <v>506</v>
      </c>
      <c r="N162" s="14">
        <v>0.33</v>
      </c>
      <c r="O162" s="12">
        <v>120</v>
      </c>
      <c r="P162" s="12">
        <v>170</v>
      </c>
      <c r="Q162" s="12">
        <v>12</v>
      </c>
      <c r="R162" s="13" t="s">
        <v>75</v>
      </c>
      <c r="S162" s="13"/>
      <c r="T162" s="15">
        <v>2000</v>
      </c>
      <c r="U162" s="13" t="s">
        <v>44</v>
      </c>
      <c r="V162" s="13" t="s">
        <v>64</v>
      </c>
      <c r="W162" s="12">
        <v>10</v>
      </c>
      <c r="X162" s="33" t="str">
        <f>HYPERLINK("https://www.alpinabook.ru/catalog/book-polnyy-poryadok","ссылка на книгу")</f>
        <v>ссылка на книгу</v>
      </c>
      <c r="Y162" s="34" t="str">
        <f>HYPERLINK("https://api-enni.alpina.ru/FilePrivilegesApproval/405","https://api-enni.alpina.ru/FilePrivilegesApproval/405")</f>
        <v>https://api-enni.alpina.ru/FilePrivilegesApproval/405</v>
      </c>
      <c r="Z162" s="13" t="s">
        <v>661</v>
      </c>
      <c r="AT162" s="1">
        <f t="shared" si="20"/>
        <v>0</v>
      </c>
      <c r="AU162" s="1">
        <f t="shared" si="21"/>
        <v>0</v>
      </c>
      <c r="AV162" s="1">
        <f t="shared" si="22"/>
        <v>0</v>
      </c>
      <c r="AW162" s="1">
        <f t="shared" si="23"/>
        <v>0</v>
      </c>
      <c r="AX162" s="1">
        <f t="shared" si="24"/>
        <v>0</v>
      </c>
    </row>
    <row r="163" spans="1:50" s="1" customFormat="1" ht="24.95" customHeight="1" outlineLevel="1" x14ac:dyDescent="0.2">
      <c r="A163" s="11"/>
      <c r="B163" s="12">
        <v>690</v>
      </c>
      <c r="C163" s="12">
        <v>990</v>
      </c>
      <c r="D163" s="12">
        <v>24182</v>
      </c>
      <c r="E163" s="13" t="s">
        <v>662</v>
      </c>
      <c r="F163" s="13" t="s">
        <v>663</v>
      </c>
      <c r="G163" s="13" t="s">
        <v>56</v>
      </c>
      <c r="H163" s="13" t="s">
        <v>40</v>
      </c>
      <c r="I163" s="12">
        <v>2025</v>
      </c>
      <c r="J163" s="13" t="s">
        <v>664</v>
      </c>
      <c r="K163" s="12">
        <v>9785961478624</v>
      </c>
      <c r="L163" s="13" t="s">
        <v>665</v>
      </c>
      <c r="M163" s="12">
        <v>492</v>
      </c>
      <c r="N163" s="14">
        <v>0.71</v>
      </c>
      <c r="O163" s="12">
        <v>150</v>
      </c>
      <c r="P163" s="12">
        <v>220</v>
      </c>
      <c r="Q163" s="12">
        <v>4</v>
      </c>
      <c r="R163" s="13" t="s">
        <v>43</v>
      </c>
      <c r="S163" s="13"/>
      <c r="T163" s="15">
        <v>1000</v>
      </c>
      <c r="U163" s="13" t="s">
        <v>52</v>
      </c>
      <c r="V163" s="13" t="s">
        <v>59</v>
      </c>
      <c r="W163" s="12">
        <v>10</v>
      </c>
      <c r="X163" s="33" t="str">
        <f>HYPERLINK("https://www.alpinabook.ru/catalog/book-pochemu-my-takie-na-rabote","ссылка на книгу")</f>
        <v>ссылка на книгу</v>
      </c>
      <c r="Y163" s="34" t="str">
        <f>HYPERLINK("https://api-enni.alpina.ru/FilePrivilegesApproval/177","https://api-enni.alpina.ru/FilePrivilegesApproval/177")</f>
        <v>https://api-enni.alpina.ru/FilePrivilegesApproval/177</v>
      </c>
      <c r="Z163" s="13" t="s">
        <v>666</v>
      </c>
      <c r="AT163" s="1">
        <f t="shared" si="20"/>
        <v>0</v>
      </c>
      <c r="AU163" s="1">
        <f t="shared" si="21"/>
        <v>0</v>
      </c>
      <c r="AV163" s="1">
        <f t="shared" si="22"/>
        <v>0</v>
      </c>
      <c r="AW163" s="1">
        <f t="shared" si="23"/>
        <v>0</v>
      </c>
      <c r="AX163" s="1">
        <f t="shared" si="24"/>
        <v>0</v>
      </c>
    </row>
    <row r="164" spans="1:50" s="1" customFormat="1" ht="24.95" customHeight="1" outlineLevel="1" x14ac:dyDescent="0.2">
      <c r="A164" s="11"/>
      <c r="B164" s="12">
        <v>640</v>
      </c>
      <c r="C164" s="12">
        <v>940</v>
      </c>
      <c r="D164" s="12">
        <v>4953</v>
      </c>
      <c r="E164" s="13" t="s">
        <v>667</v>
      </c>
      <c r="F164" s="13" t="s">
        <v>668</v>
      </c>
      <c r="G164" s="13" t="s">
        <v>56</v>
      </c>
      <c r="H164" s="13" t="s">
        <v>40</v>
      </c>
      <c r="I164" s="12">
        <v>2025</v>
      </c>
      <c r="J164" s="13" t="s">
        <v>669</v>
      </c>
      <c r="K164" s="12">
        <v>9785961461848</v>
      </c>
      <c r="L164" s="13" t="s">
        <v>670</v>
      </c>
      <c r="M164" s="12">
        <v>254</v>
      </c>
      <c r="N164" s="14">
        <v>0.43</v>
      </c>
      <c r="O164" s="12">
        <v>153</v>
      </c>
      <c r="P164" s="12">
        <v>216</v>
      </c>
      <c r="Q164" s="12">
        <v>5</v>
      </c>
      <c r="R164" s="13" t="s">
        <v>43</v>
      </c>
      <c r="S164" s="13"/>
      <c r="T164" s="15">
        <v>1000</v>
      </c>
      <c r="U164" s="13" t="s">
        <v>52</v>
      </c>
      <c r="V164" s="13" t="s">
        <v>64</v>
      </c>
      <c r="W164" s="12">
        <v>10</v>
      </c>
      <c r="X164" s="33" t="str">
        <f>HYPERLINK("https://www.alpinabook.ru/catalog/book-pravila-bogatstva","ссылка на книгу")</f>
        <v>ссылка на книгу</v>
      </c>
      <c r="Y164" s="34" t="str">
        <f>HYPERLINK("https://api-enni.alpina.ru/FilePrivilegesApproval/2","https://api-enni.alpina.ru/FilePrivilegesApproval/2")</f>
        <v>https://api-enni.alpina.ru/FilePrivilegesApproval/2</v>
      </c>
      <c r="Z164" s="13" t="s">
        <v>405</v>
      </c>
      <c r="AT164" s="1">
        <f t="shared" si="20"/>
        <v>0</v>
      </c>
      <c r="AU164" s="1">
        <f t="shared" si="21"/>
        <v>0</v>
      </c>
      <c r="AV164" s="1">
        <f t="shared" si="22"/>
        <v>0</v>
      </c>
      <c r="AW164" s="1">
        <f t="shared" si="23"/>
        <v>0</v>
      </c>
      <c r="AX164" s="1">
        <f t="shared" si="24"/>
        <v>0</v>
      </c>
    </row>
    <row r="165" spans="1:50" s="1" customFormat="1" ht="24.95" customHeight="1" outlineLevel="1" x14ac:dyDescent="0.2">
      <c r="A165" s="11"/>
      <c r="B165" s="12">
        <v>640</v>
      </c>
      <c r="C165" s="12">
        <v>940</v>
      </c>
      <c r="D165" s="12">
        <v>6135</v>
      </c>
      <c r="E165" s="13" t="s">
        <v>667</v>
      </c>
      <c r="F165" s="13" t="s">
        <v>671</v>
      </c>
      <c r="G165" s="13" t="s">
        <v>56</v>
      </c>
      <c r="H165" s="13" t="s">
        <v>40</v>
      </c>
      <c r="I165" s="12">
        <v>2025</v>
      </c>
      <c r="J165" s="13" t="s">
        <v>672</v>
      </c>
      <c r="K165" s="12">
        <v>9785961417623</v>
      </c>
      <c r="L165" s="13" t="s">
        <v>673</v>
      </c>
      <c r="M165" s="12">
        <v>234</v>
      </c>
      <c r="N165" s="14">
        <v>0.39</v>
      </c>
      <c r="O165" s="12">
        <v>153</v>
      </c>
      <c r="P165" s="12">
        <v>216</v>
      </c>
      <c r="Q165" s="12">
        <v>5</v>
      </c>
      <c r="R165" s="13" t="s">
        <v>43</v>
      </c>
      <c r="S165" s="13"/>
      <c r="T165" s="15">
        <v>1000</v>
      </c>
      <c r="U165" s="13" t="s">
        <v>52</v>
      </c>
      <c r="V165" s="13" t="s">
        <v>64</v>
      </c>
      <c r="W165" s="12">
        <v>10</v>
      </c>
      <c r="X165" s="33" t="str">
        <f>HYPERLINK("https://www.alpinabook.ru/catalog/book-pravila-zhizni-kak-dobitsya-uspeha","ссылка на книгу")</f>
        <v>ссылка на книгу</v>
      </c>
      <c r="Y165" s="34" t="str">
        <f>HYPERLINK("https://api-enni.alpina.ru/FilePrivilegesApproval/153","https://api-enni.alpina.ru/FilePrivilegesApproval/153")</f>
        <v>https://api-enni.alpina.ru/FilePrivilegesApproval/153</v>
      </c>
      <c r="Z165" s="13" t="s">
        <v>405</v>
      </c>
      <c r="AT165" s="1">
        <f t="shared" si="20"/>
        <v>0</v>
      </c>
      <c r="AU165" s="1">
        <f t="shared" si="21"/>
        <v>0</v>
      </c>
      <c r="AV165" s="1">
        <f t="shared" si="22"/>
        <v>0</v>
      </c>
      <c r="AW165" s="1">
        <f t="shared" si="23"/>
        <v>0</v>
      </c>
      <c r="AX165" s="1">
        <f t="shared" si="24"/>
        <v>0</v>
      </c>
    </row>
    <row r="166" spans="1:50" s="1" customFormat="1" ht="24.95" customHeight="1" outlineLevel="1" x14ac:dyDescent="0.2">
      <c r="A166" s="11"/>
      <c r="B166" s="12">
        <v>640</v>
      </c>
      <c r="C166" s="12">
        <v>940</v>
      </c>
      <c r="D166" s="12">
        <v>5893</v>
      </c>
      <c r="E166" s="13" t="s">
        <v>667</v>
      </c>
      <c r="F166" s="13" t="s">
        <v>674</v>
      </c>
      <c r="G166" s="13" t="s">
        <v>56</v>
      </c>
      <c r="H166" s="13" t="s">
        <v>40</v>
      </c>
      <c r="I166" s="12">
        <v>2025</v>
      </c>
      <c r="J166" s="13" t="s">
        <v>675</v>
      </c>
      <c r="K166" s="12">
        <v>9785961461497</v>
      </c>
      <c r="L166" s="13" t="s">
        <v>676</v>
      </c>
      <c r="M166" s="12">
        <v>234</v>
      </c>
      <c r="N166" s="14">
        <v>0.39</v>
      </c>
      <c r="O166" s="12">
        <v>153</v>
      </c>
      <c r="P166" s="12">
        <v>216</v>
      </c>
      <c r="Q166" s="12">
        <v>7</v>
      </c>
      <c r="R166" s="13" t="s">
        <v>43</v>
      </c>
      <c r="S166" s="13"/>
      <c r="T166" s="15">
        <v>1000</v>
      </c>
      <c r="U166" s="13" t="s">
        <v>52</v>
      </c>
      <c r="V166" s="13" t="s">
        <v>64</v>
      </c>
      <c r="W166" s="12">
        <v>10</v>
      </c>
      <c r="X166" s="33" t="str">
        <f>HYPERLINK("https://www.alpinabook.ru/catalog/book-pravila-menedzhmenta","ссылка на книгу")</f>
        <v>ссылка на книгу</v>
      </c>
      <c r="Y166" s="34" t="str">
        <f>HYPERLINK("https://api-enni.alpina.ru/FilePrivilegesApproval/2","https://api-enni.alpina.ru/FilePrivilegesApproval/2")</f>
        <v>https://api-enni.alpina.ru/FilePrivilegesApproval/2</v>
      </c>
      <c r="Z166" s="13" t="s">
        <v>405</v>
      </c>
      <c r="AT166" s="1">
        <f t="shared" si="20"/>
        <v>0</v>
      </c>
      <c r="AU166" s="1">
        <f t="shared" si="21"/>
        <v>0</v>
      </c>
      <c r="AV166" s="1">
        <f t="shared" si="22"/>
        <v>0</v>
      </c>
      <c r="AW166" s="1">
        <f t="shared" si="23"/>
        <v>0</v>
      </c>
      <c r="AX166" s="1">
        <f t="shared" si="24"/>
        <v>0</v>
      </c>
    </row>
    <row r="167" spans="1:50" s="1" customFormat="1" ht="24.95" customHeight="1" outlineLevel="1" x14ac:dyDescent="0.2">
      <c r="A167" s="11"/>
      <c r="B167" s="12">
        <v>690</v>
      </c>
      <c r="C167" s="15">
        <v>1190</v>
      </c>
      <c r="D167" s="12">
        <v>11384</v>
      </c>
      <c r="E167" s="13" t="s">
        <v>501</v>
      </c>
      <c r="F167" s="13" t="s">
        <v>677</v>
      </c>
      <c r="G167" s="13" t="s">
        <v>56</v>
      </c>
      <c r="H167" s="13" t="s">
        <v>40</v>
      </c>
      <c r="I167" s="12">
        <v>2025</v>
      </c>
      <c r="J167" s="13" t="s">
        <v>678</v>
      </c>
      <c r="K167" s="12">
        <v>9785961432060</v>
      </c>
      <c r="L167" s="13" t="s">
        <v>679</v>
      </c>
      <c r="M167" s="12">
        <v>210</v>
      </c>
      <c r="N167" s="14">
        <v>0.38</v>
      </c>
      <c r="O167" s="12">
        <v>153</v>
      </c>
      <c r="P167" s="12">
        <v>216</v>
      </c>
      <c r="Q167" s="12">
        <v>6</v>
      </c>
      <c r="R167" s="13" t="s">
        <v>43</v>
      </c>
      <c r="S167" s="13" t="s">
        <v>505</v>
      </c>
      <c r="T167" s="15">
        <v>1000</v>
      </c>
      <c r="U167" s="13" t="s">
        <v>52</v>
      </c>
      <c r="V167" s="13" t="s">
        <v>64</v>
      </c>
      <c r="W167" s="12">
        <v>10</v>
      </c>
      <c r="X167" s="33" t="str">
        <f>HYPERLINK("https://www.alpinabook.ru/catalog/book-prodazhi","ссылка на книгу")</f>
        <v>ссылка на книгу</v>
      </c>
      <c r="Y167" s="34" t="str">
        <f>HYPERLINK("https://api-enni.alpina.ru/FilePrivilegesApproval/124","https://api-enni.alpina.ru/FilePrivilegesApproval/124")</f>
        <v>https://api-enni.alpina.ru/FilePrivilegesApproval/124</v>
      </c>
      <c r="Z167" s="13" t="s">
        <v>118</v>
      </c>
      <c r="AT167" s="1">
        <f t="shared" si="20"/>
        <v>0</v>
      </c>
      <c r="AU167" s="1">
        <f t="shared" si="21"/>
        <v>0</v>
      </c>
      <c r="AV167" s="1">
        <f t="shared" si="22"/>
        <v>0</v>
      </c>
      <c r="AW167" s="1">
        <f t="shared" si="23"/>
        <v>0</v>
      </c>
      <c r="AX167" s="1">
        <f t="shared" si="24"/>
        <v>0</v>
      </c>
    </row>
    <row r="168" spans="1:50" s="1" customFormat="1" ht="24.95" customHeight="1" outlineLevel="1" x14ac:dyDescent="0.2">
      <c r="A168" s="11"/>
      <c r="B168" s="12">
        <v>620</v>
      </c>
      <c r="C168" s="12">
        <v>890</v>
      </c>
      <c r="D168" s="12">
        <v>29538</v>
      </c>
      <c r="E168" s="13" t="s">
        <v>510</v>
      </c>
      <c r="F168" s="13" t="s">
        <v>680</v>
      </c>
      <c r="G168" s="13" t="s">
        <v>56</v>
      </c>
      <c r="H168" s="13"/>
      <c r="I168" s="12">
        <v>2025</v>
      </c>
      <c r="J168" s="13" t="s">
        <v>681</v>
      </c>
      <c r="K168" s="12">
        <v>9785961493719</v>
      </c>
      <c r="L168" s="13" t="s">
        <v>682</v>
      </c>
      <c r="M168" s="12">
        <v>278</v>
      </c>
      <c r="N168" s="14">
        <v>0.43</v>
      </c>
      <c r="O168" s="12">
        <v>150</v>
      </c>
      <c r="P168" s="12">
        <v>220</v>
      </c>
      <c r="Q168" s="12">
        <v>8</v>
      </c>
      <c r="R168" s="13" t="s">
        <v>43</v>
      </c>
      <c r="S168" s="13"/>
      <c r="T168" s="15">
        <v>1000</v>
      </c>
      <c r="U168" s="13" t="s">
        <v>52</v>
      </c>
      <c r="V168" s="13" t="s">
        <v>64</v>
      </c>
      <c r="W168" s="12">
        <v>10</v>
      </c>
      <c r="X168" s="33" t="str">
        <f>HYPERLINK("https://www.alpinabook.ru/catalog/book-prodazhi-na-100","ссылка на книгу")</f>
        <v>ссылка на книгу</v>
      </c>
      <c r="Y168" s="34" t="str">
        <f>HYPERLINK("https://api-enni.alpina.ru/FilePrivilegesApproval/121","https://api-enni.alpina.ru/FilePrivilegesApproval/121")</f>
        <v>https://api-enni.alpina.ru/FilePrivilegesApproval/121</v>
      </c>
      <c r="Z168" s="13" t="s">
        <v>387</v>
      </c>
      <c r="AT168" s="1">
        <f t="shared" si="20"/>
        <v>0</v>
      </c>
      <c r="AU168" s="1">
        <f t="shared" si="21"/>
        <v>0</v>
      </c>
      <c r="AV168" s="1">
        <f t="shared" si="22"/>
        <v>0</v>
      </c>
      <c r="AW168" s="1">
        <f t="shared" si="23"/>
        <v>0</v>
      </c>
      <c r="AX168" s="1">
        <f t="shared" si="24"/>
        <v>0</v>
      </c>
    </row>
    <row r="169" spans="1:50" s="1" customFormat="1" ht="24.95" customHeight="1" outlineLevel="1" x14ac:dyDescent="0.2">
      <c r="A169" s="11"/>
      <c r="B169" s="12">
        <v>640</v>
      </c>
      <c r="C169" s="12">
        <v>940</v>
      </c>
      <c r="D169" s="12">
        <v>22770</v>
      </c>
      <c r="E169" s="13" t="s">
        <v>339</v>
      </c>
      <c r="F169" s="13" t="s">
        <v>683</v>
      </c>
      <c r="G169" s="13" t="s">
        <v>39</v>
      </c>
      <c r="H169" s="13"/>
      <c r="I169" s="12">
        <v>2025</v>
      </c>
      <c r="J169" s="13" t="s">
        <v>684</v>
      </c>
      <c r="K169" s="12">
        <v>9785001395058</v>
      </c>
      <c r="L169" s="13" t="s">
        <v>685</v>
      </c>
      <c r="M169" s="12">
        <v>336</v>
      </c>
      <c r="N169" s="14">
        <v>0.56000000000000005</v>
      </c>
      <c r="O169" s="12">
        <v>140</v>
      </c>
      <c r="P169" s="12">
        <v>210</v>
      </c>
      <c r="Q169" s="12">
        <v>10</v>
      </c>
      <c r="R169" s="13" t="s">
        <v>43</v>
      </c>
      <c r="S169" s="13"/>
      <c r="T169" s="15">
        <v>1500</v>
      </c>
      <c r="U169" s="13" t="s">
        <v>52</v>
      </c>
      <c r="V169" s="13" t="s">
        <v>89</v>
      </c>
      <c r="W169" s="12">
        <v>10</v>
      </c>
      <c r="X169" s="33" t="str">
        <f>HYPERLINK("https://www.alpinabook.ru/catalog/book-psoglavtsy","ссылка на книгу")</f>
        <v>ссылка на книгу</v>
      </c>
      <c r="Y169" s="34" t="str">
        <f>HYPERLINK("https://api-enni.alpina.ru/FilePrivilegesApproval/207","https://api-enni.alpina.ru/FilePrivilegesApproval/207")</f>
        <v>https://api-enni.alpina.ru/FilePrivilegesApproval/207</v>
      </c>
      <c r="Z169" s="13" t="s">
        <v>77</v>
      </c>
      <c r="AT169" s="1">
        <f t="shared" si="20"/>
        <v>0</v>
      </c>
      <c r="AU169" s="1">
        <f t="shared" si="21"/>
        <v>0</v>
      </c>
      <c r="AV169" s="1">
        <f t="shared" si="22"/>
        <v>0</v>
      </c>
      <c r="AW169" s="1">
        <f t="shared" si="23"/>
        <v>0</v>
      </c>
      <c r="AX169" s="1">
        <f t="shared" si="24"/>
        <v>0</v>
      </c>
    </row>
    <row r="170" spans="1:50" s="1" customFormat="1" ht="24.95" customHeight="1" outlineLevel="1" x14ac:dyDescent="0.2">
      <c r="A170" s="11"/>
      <c r="B170" s="15">
        <v>1690</v>
      </c>
      <c r="C170" s="15">
        <v>2190</v>
      </c>
      <c r="D170" s="12">
        <v>4448</v>
      </c>
      <c r="E170" s="13" t="s">
        <v>686</v>
      </c>
      <c r="F170" s="13" t="s">
        <v>687</v>
      </c>
      <c r="G170" s="13" t="s">
        <v>56</v>
      </c>
      <c r="H170" s="13" t="s">
        <v>40</v>
      </c>
      <c r="I170" s="12">
        <v>2025</v>
      </c>
      <c r="J170" s="13" t="s">
        <v>688</v>
      </c>
      <c r="K170" s="12">
        <v>9785961467475</v>
      </c>
      <c r="L170" s="13" t="s">
        <v>689</v>
      </c>
      <c r="M170" s="12">
        <v>312</v>
      </c>
      <c r="N170" s="14">
        <v>0.74</v>
      </c>
      <c r="O170" s="12">
        <v>240</v>
      </c>
      <c r="P170" s="12">
        <v>190</v>
      </c>
      <c r="Q170" s="12">
        <v>6</v>
      </c>
      <c r="R170" s="13" t="s">
        <v>167</v>
      </c>
      <c r="S170" s="13" t="s">
        <v>690</v>
      </c>
      <c r="T170" s="15">
        <v>2000</v>
      </c>
      <c r="U170" s="13" t="s">
        <v>44</v>
      </c>
      <c r="V170" s="13" t="s">
        <v>64</v>
      </c>
      <c r="W170" s="12">
        <v>10</v>
      </c>
      <c r="X170" s="33" t="str">
        <f>HYPERLINK("https://www.alpinabook.ru/catalog/book-razrabotka-tsennostnykh-predlozheniy","ссылка на книгу")</f>
        <v>ссылка на книгу</v>
      </c>
      <c r="Y170" s="34" t="str">
        <f>HYPERLINK("https://api-enni.alpina.ru/FilePrivilegesApproval/2","https://api-enni.alpina.ru/FilePrivilegesApproval/2")</f>
        <v>https://api-enni.alpina.ru/FilePrivilegesApproval/2</v>
      </c>
      <c r="Z170" s="13" t="s">
        <v>132</v>
      </c>
      <c r="AT170" s="1">
        <f t="shared" si="20"/>
        <v>0</v>
      </c>
      <c r="AU170" s="1">
        <f t="shared" si="21"/>
        <v>0</v>
      </c>
      <c r="AV170" s="1">
        <f t="shared" si="22"/>
        <v>0</v>
      </c>
      <c r="AW170" s="1">
        <f t="shared" si="23"/>
        <v>0</v>
      </c>
      <c r="AX170" s="1">
        <f t="shared" si="24"/>
        <v>0</v>
      </c>
    </row>
    <row r="171" spans="1:50" s="1" customFormat="1" ht="24.95" customHeight="1" outlineLevel="1" x14ac:dyDescent="0.2">
      <c r="A171" s="11"/>
      <c r="B171" s="15">
        <v>1390</v>
      </c>
      <c r="C171" s="15">
        <v>1790</v>
      </c>
      <c r="D171" s="12">
        <v>2960</v>
      </c>
      <c r="E171" s="13" t="s">
        <v>691</v>
      </c>
      <c r="F171" s="13" t="s">
        <v>692</v>
      </c>
      <c r="G171" s="13" t="s">
        <v>56</v>
      </c>
      <c r="H171" s="13" t="s">
        <v>40</v>
      </c>
      <c r="I171" s="12">
        <v>2024</v>
      </c>
      <c r="J171" s="13" t="s">
        <v>693</v>
      </c>
      <c r="K171" s="12">
        <v>9785961465440</v>
      </c>
      <c r="L171" s="13" t="s">
        <v>694</v>
      </c>
      <c r="M171" s="12">
        <v>576</v>
      </c>
      <c r="N171" s="14">
        <v>0.86</v>
      </c>
      <c r="O171" s="12">
        <v>170</v>
      </c>
      <c r="P171" s="12">
        <v>240</v>
      </c>
      <c r="Q171" s="12">
        <v>5</v>
      </c>
      <c r="R171" s="13" t="s">
        <v>94</v>
      </c>
      <c r="S171" s="13"/>
      <c r="T171" s="15">
        <v>5000</v>
      </c>
      <c r="U171" s="13" t="s">
        <v>52</v>
      </c>
      <c r="V171" s="13" t="s">
        <v>64</v>
      </c>
      <c r="W171" s="12">
        <v>10</v>
      </c>
      <c r="X171" s="33" t="str">
        <f>HYPERLINK("https://www.alpinabook.ru/catalog/book-razumnyy-investor","ссылка на книгу")</f>
        <v>ссылка на книгу</v>
      </c>
      <c r="Y171" s="34" t="str">
        <f>HYPERLINK("https://api-enni.alpina.ru/FilePrivilegesApproval/2","https://api-enni.alpina.ru/FilePrivilegesApproval/2")</f>
        <v>https://api-enni.alpina.ru/FilePrivilegesApproval/2</v>
      </c>
      <c r="Z171" s="13"/>
      <c r="AT171" s="1">
        <f t="shared" si="20"/>
        <v>0</v>
      </c>
      <c r="AU171" s="1">
        <f t="shared" si="21"/>
        <v>0</v>
      </c>
      <c r="AV171" s="1">
        <f t="shared" si="22"/>
        <v>0</v>
      </c>
      <c r="AW171" s="1">
        <f t="shared" si="23"/>
        <v>0</v>
      </c>
      <c r="AX171" s="1">
        <f t="shared" si="24"/>
        <v>0</v>
      </c>
    </row>
    <row r="172" spans="1:50" s="1" customFormat="1" ht="24.95" customHeight="1" outlineLevel="1" x14ac:dyDescent="0.2">
      <c r="A172" s="11"/>
      <c r="B172" s="12">
        <v>690</v>
      </c>
      <c r="C172" s="12">
        <v>990</v>
      </c>
      <c r="D172" s="12">
        <v>17984</v>
      </c>
      <c r="E172" s="13" t="s">
        <v>695</v>
      </c>
      <c r="F172" s="13" t="s">
        <v>696</v>
      </c>
      <c r="G172" s="13" t="s">
        <v>56</v>
      </c>
      <c r="H172" s="13" t="s">
        <v>40</v>
      </c>
      <c r="I172" s="12">
        <v>2025</v>
      </c>
      <c r="J172" s="13" t="s">
        <v>697</v>
      </c>
      <c r="K172" s="12">
        <v>9785961432787</v>
      </c>
      <c r="L172" s="13" t="s">
        <v>698</v>
      </c>
      <c r="M172" s="12">
        <v>172</v>
      </c>
      <c r="N172" s="14">
        <v>0.49</v>
      </c>
      <c r="O172" s="12">
        <v>180</v>
      </c>
      <c r="P172" s="12">
        <v>240</v>
      </c>
      <c r="Q172" s="12">
        <v>10</v>
      </c>
      <c r="R172" s="13" t="s">
        <v>94</v>
      </c>
      <c r="S172" s="13"/>
      <c r="T172" s="15">
        <v>3000</v>
      </c>
      <c r="U172" s="13" t="s">
        <v>52</v>
      </c>
      <c r="V172" s="13" t="s">
        <v>89</v>
      </c>
      <c r="W172" s="12">
        <v>10</v>
      </c>
      <c r="X172" s="33" t="str">
        <f>HYPERLINK("https://www.alpinabook.ru/catalog/book-sam-ili-pomogli","ссылка на книгу")</f>
        <v>ссылка на книгу</v>
      </c>
      <c r="Y172" s="34" t="str">
        <f>HYPERLINK("https://api-enni.alpina.ru/FilePrivilegesApproval/542","https://api-enni.alpina.ru/FilePrivilegesApproval/542")</f>
        <v>https://api-enni.alpina.ru/FilePrivilegesApproval/542</v>
      </c>
      <c r="Z172" s="13" t="s">
        <v>70</v>
      </c>
      <c r="AT172" s="1">
        <f t="shared" si="20"/>
        <v>0</v>
      </c>
      <c r="AU172" s="1">
        <f t="shared" si="21"/>
        <v>0</v>
      </c>
      <c r="AV172" s="1">
        <f t="shared" si="22"/>
        <v>0</v>
      </c>
      <c r="AW172" s="1">
        <f t="shared" si="23"/>
        <v>0</v>
      </c>
      <c r="AX172" s="1">
        <f t="shared" si="24"/>
        <v>0</v>
      </c>
    </row>
    <row r="173" spans="1:50" s="1" customFormat="1" ht="24.95" customHeight="1" outlineLevel="1" x14ac:dyDescent="0.2">
      <c r="A173" s="11"/>
      <c r="B173" s="12">
        <v>390</v>
      </c>
      <c r="C173" s="12">
        <v>640</v>
      </c>
      <c r="D173" s="12">
        <v>8622</v>
      </c>
      <c r="E173" s="13" t="s">
        <v>699</v>
      </c>
      <c r="F173" s="13" t="s">
        <v>700</v>
      </c>
      <c r="G173" s="13" t="s">
        <v>56</v>
      </c>
      <c r="H173" s="13" t="s">
        <v>40</v>
      </c>
      <c r="I173" s="12">
        <v>2025</v>
      </c>
      <c r="J173" s="13" t="s">
        <v>701</v>
      </c>
      <c r="K173" s="12">
        <v>9785961468625</v>
      </c>
      <c r="L173" s="13" t="s">
        <v>702</v>
      </c>
      <c r="M173" s="12">
        <v>96</v>
      </c>
      <c r="N173" s="14">
        <v>0.2</v>
      </c>
      <c r="O173" s="12">
        <v>130</v>
      </c>
      <c r="P173" s="12">
        <v>206</v>
      </c>
      <c r="Q173" s="12">
        <v>10</v>
      </c>
      <c r="R173" s="13" t="s">
        <v>82</v>
      </c>
      <c r="S173" s="13"/>
      <c r="T173" s="15">
        <v>1000</v>
      </c>
      <c r="U173" s="13" t="s">
        <v>52</v>
      </c>
      <c r="V173" s="13" t="s">
        <v>64</v>
      </c>
      <c r="W173" s="12">
        <v>10</v>
      </c>
      <c r="X173" s="33" t="str">
        <f>HYPERLINK("https://www.alpinabook.ru/catalog/book-samyy-silnyy-signal-v-tekhnicheskom-analize","ссылка на книгу")</f>
        <v>ссылка на книгу</v>
      </c>
      <c r="Y173" s="34" t="str">
        <f>HYPERLINK("https://api-enni.alpina.ru/FilePrivilegesApproval/2","https://api-enni.alpina.ru/FilePrivilegesApproval/2")</f>
        <v>https://api-enni.alpina.ru/FilePrivilegesApproval/2</v>
      </c>
      <c r="Z173" s="13" t="s">
        <v>77</v>
      </c>
      <c r="AT173" s="1">
        <f t="shared" si="20"/>
        <v>0</v>
      </c>
      <c r="AU173" s="1">
        <f t="shared" si="21"/>
        <v>0</v>
      </c>
      <c r="AV173" s="1">
        <f t="shared" si="22"/>
        <v>0</v>
      </c>
      <c r="AW173" s="1">
        <f t="shared" si="23"/>
        <v>0</v>
      </c>
      <c r="AX173" s="1">
        <f t="shared" si="24"/>
        <v>0</v>
      </c>
    </row>
    <row r="174" spans="1:50" s="1" customFormat="1" ht="24.95" customHeight="1" outlineLevel="1" x14ac:dyDescent="0.2">
      <c r="A174" s="11"/>
      <c r="B174" s="12">
        <v>590</v>
      </c>
      <c r="C174" s="12">
        <v>840</v>
      </c>
      <c r="D174" s="12">
        <v>18947</v>
      </c>
      <c r="E174" s="13" t="s">
        <v>703</v>
      </c>
      <c r="F174" s="13" t="s">
        <v>704</v>
      </c>
      <c r="G174" s="13" t="s">
        <v>56</v>
      </c>
      <c r="H174" s="13"/>
      <c r="I174" s="12">
        <v>2025</v>
      </c>
      <c r="J174" s="13" t="s">
        <v>705</v>
      </c>
      <c r="K174" s="12">
        <v>9785961438451</v>
      </c>
      <c r="L174" s="13" t="s">
        <v>706</v>
      </c>
      <c r="M174" s="12">
        <v>304</v>
      </c>
      <c r="N174" s="14">
        <v>0.55000000000000004</v>
      </c>
      <c r="O174" s="12">
        <v>146</v>
      </c>
      <c r="P174" s="12">
        <v>216</v>
      </c>
      <c r="Q174" s="12">
        <v>5</v>
      </c>
      <c r="R174" s="13" t="s">
        <v>43</v>
      </c>
      <c r="S174" s="13"/>
      <c r="T174" s="15">
        <v>1000</v>
      </c>
      <c r="U174" s="13" t="s">
        <v>52</v>
      </c>
      <c r="V174" s="13" t="s">
        <v>59</v>
      </c>
      <c r="W174" s="12">
        <v>10</v>
      </c>
      <c r="X174" s="33" t="str">
        <f>HYPERLINK("https://www.alpinabook.ru/catalog/book-sbor-dolgov","ссылка на книгу")</f>
        <v>ссылка на книгу</v>
      </c>
      <c r="Y174" s="34" t="str">
        <f>HYPERLINK("https://api-enni.alpina.ru/FilePrivilegesApproval/72","https://api-enni.alpina.ru/FilePrivilegesApproval/72")</f>
        <v>https://api-enni.alpina.ru/FilePrivilegesApproval/72</v>
      </c>
      <c r="Z174" s="13" t="s">
        <v>65</v>
      </c>
      <c r="AT174" s="1">
        <f t="shared" si="20"/>
        <v>0</v>
      </c>
      <c r="AU174" s="1">
        <f t="shared" si="21"/>
        <v>0</v>
      </c>
      <c r="AV174" s="1">
        <f t="shared" si="22"/>
        <v>0</v>
      </c>
      <c r="AW174" s="1">
        <f t="shared" si="23"/>
        <v>0</v>
      </c>
      <c r="AX174" s="1">
        <f t="shared" si="24"/>
        <v>0</v>
      </c>
    </row>
    <row r="175" spans="1:50" s="1" customFormat="1" ht="24.95" customHeight="1" outlineLevel="1" x14ac:dyDescent="0.2">
      <c r="A175" s="11"/>
      <c r="B175" s="12">
        <v>690</v>
      </c>
      <c r="C175" s="12">
        <v>990</v>
      </c>
      <c r="D175" s="12">
        <v>26616</v>
      </c>
      <c r="E175" s="13" t="s">
        <v>707</v>
      </c>
      <c r="F175" s="13" t="s">
        <v>708</v>
      </c>
      <c r="G175" s="13" t="s">
        <v>97</v>
      </c>
      <c r="H175" s="13"/>
      <c r="I175" s="12">
        <v>2023</v>
      </c>
      <c r="J175" s="13" t="s">
        <v>709</v>
      </c>
      <c r="K175" s="12">
        <v>9785206000948</v>
      </c>
      <c r="L175" s="13" t="s">
        <v>710</v>
      </c>
      <c r="M175" s="12">
        <v>172</v>
      </c>
      <c r="N175" s="14">
        <v>0.37</v>
      </c>
      <c r="O175" s="12">
        <v>150</v>
      </c>
      <c r="P175" s="12">
        <v>220</v>
      </c>
      <c r="Q175" s="12">
        <v>10</v>
      </c>
      <c r="R175" s="13" t="s">
        <v>43</v>
      </c>
      <c r="S175" s="13"/>
      <c r="T175" s="15">
        <v>1000</v>
      </c>
      <c r="U175" s="13" t="s">
        <v>52</v>
      </c>
      <c r="V175" s="13" t="s">
        <v>59</v>
      </c>
      <c r="W175" s="12">
        <v>10</v>
      </c>
      <c r="X175" s="33" t="str">
        <f>HYPERLINK("https://www.alpinabook.ru/catalog/book-svobodnoe-pogruzhenie","ссылка на книгу")</f>
        <v>ссылка на книгу</v>
      </c>
      <c r="Y175" s="34" t="str">
        <f>HYPERLINK("https://api-enni.alpina.ru/FilePrivilegesApproval/168","https://api-enni.alpina.ru/FilePrivilegesApproval/168")</f>
        <v>https://api-enni.alpina.ru/FilePrivilegesApproval/168</v>
      </c>
      <c r="Z175" s="13"/>
      <c r="AT175" s="1">
        <f t="shared" si="20"/>
        <v>0</v>
      </c>
      <c r="AU175" s="1">
        <f t="shared" si="21"/>
        <v>0</v>
      </c>
      <c r="AV175" s="1">
        <f t="shared" si="22"/>
        <v>0</v>
      </c>
      <c r="AW175" s="1">
        <f t="shared" si="23"/>
        <v>0</v>
      </c>
      <c r="AX175" s="1">
        <f t="shared" si="24"/>
        <v>0</v>
      </c>
    </row>
    <row r="176" spans="1:50" s="1" customFormat="1" ht="24.95" customHeight="1" outlineLevel="1" x14ac:dyDescent="0.2">
      <c r="A176" s="11"/>
      <c r="B176" s="12">
        <v>690</v>
      </c>
      <c r="C176" s="12">
        <v>990</v>
      </c>
      <c r="D176" s="12">
        <v>14943</v>
      </c>
      <c r="E176" s="13" t="s">
        <v>711</v>
      </c>
      <c r="F176" s="13" t="s">
        <v>712</v>
      </c>
      <c r="G176" s="13" t="s">
        <v>56</v>
      </c>
      <c r="H176" s="13"/>
      <c r="I176" s="12">
        <v>2025</v>
      </c>
      <c r="J176" s="13" t="s">
        <v>713</v>
      </c>
      <c r="K176" s="12">
        <v>9785961428384</v>
      </c>
      <c r="L176" s="13" t="s">
        <v>714</v>
      </c>
      <c r="M176" s="12">
        <v>488</v>
      </c>
      <c r="N176" s="14">
        <v>0.68</v>
      </c>
      <c r="O176" s="12">
        <v>150</v>
      </c>
      <c r="P176" s="12">
        <v>220</v>
      </c>
      <c r="Q176" s="12">
        <v>5</v>
      </c>
      <c r="R176" s="13" t="s">
        <v>43</v>
      </c>
      <c r="S176" s="13"/>
      <c r="T176" s="15">
        <v>1000</v>
      </c>
      <c r="U176" s="13" t="s">
        <v>52</v>
      </c>
      <c r="V176" s="13" t="s">
        <v>45</v>
      </c>
      <c r="W176" s="12">
        <v>10</v>
      </c>
      <c r="X176" s="33" t="str">
        <f>HYPERLINK("https://www.alpinabook.ru/catalog/book-sdelay-eto-v-kitae","ссылка на книгу")</f>
        <v>ссылка на книгу</v>
      </c>
      <c r="Y176" s="34" t="str">
        <f>HYPERLINK("https://api-enni.alpina.ru/FilePrivilegesApproval/37","https://api-enni.alpina.ru/FilePrivilegesApproval/37")</f>
        <v>https://api-enni.alpina.ru/FilePrivilegesApproval/37</v>
      </c>
      <c r="Z176" s="13" t="s">
        <v>387</v>
      </c>
      <c r="AT176" s="1">
        <f t="shared" si="20"/>
        <v>0</v>
      </c>
      <c r="AU176" s="1">
        <f t="shared" si="21"/>
        <v>0</v>
      </c>
      <c r="AV176" s="1">
        <f t="shared" si="22"/>
        <v>0</v>
      </c>
      <c r="AW176" s="1">
        <f t="shared" si="23"/>
        <v>0</v>
      </c>
      <c r="AX176" s="1">
        <f t="shared" si="24"/>
        <v>0</v>
      </c>
    </row>
    <row r="177" spans="1:50" s="1" customFormat="1" ht="24.95" customHeight="1" outlineLevel="1" x14ac:dyDescent="0.2">
      <c r="A177" s="11"/>
      <c r="B177" s="12">
        <v>730</v>
      </c>
      <c r="C177" s="15">
        <v>1090</v>
      </c>
      <c r="D177" s="12">
        <v>22334</v>
      </c>
      <c r="E177" s="13" t="s">
        <v>715</v>
      </c>
      <c r="F177" s="13" t="s">
        <v>716</v>
      </c>
      <c r="G177" s="13" t="s">
        <v>56</v>
      </c>
      <c r="H177" s="13" t="s">
        <v>40</v>
      </c>
      <c r="I177" s="12">
        <v>2025</v>
      </c>
      <c r="J177" s="13" t="s">
        <v>717</v>
      </c>
      <c r="K177" s="12">
        <v>9785961448092</v>
      </c>
      <c r="L177" s="13" t="s">
        <v>718</v>
      </c>
      <c r="M177" s="12">
        <v>488</v>
      </c>
      <c r="N177" s="14">
        <v>0.77</v>
      </c>
      <c r="O177" s="12">
        <v>170</v>
      </c>
      <c r="P177" s="12">
        <v>240</v>
      </c>
      <c r="Q177" s="12">
        <v>5</v>
      </c>
      <c r="R177" s="13" t="s">
        <v>94</v>
      </c>
      <c r="S177" s="13"/>
      <c r="T177" s="15">
        <v>10000</v>
      </c>
      <c r="U177" s="13" t="s">
        <v>44</v>
      </c>
      <c r="V177" s="13" t="s">
        <v>59</v>
      </c>
      <c r="W177" s="12">
        <v>10</v>
      </c>
      <c r="X177" s="33" t="str">
        <f>HYPERLINK("https://www.alpinabook.ru/catalog/book-7-navykov-yubileynoe-izdanie","ссылка на книгу")</f>
        <v>ссылка на книгу</v>
      </c>
      <c r="Y177" s="34" t="str">
        <f>HYPERLINK("https://api-enni.alpina.ru/FilePrivilegesApproval/177","https://api-enni.alpina.ru/FilePrivilegesApproval/177")</f>
        <v>https://api-enni.alpina.ru/FilePrivilegesApproval/177</v>
      </c>
      <c r="Z177" s="13" t="s">
        <v>142</v>
      </c>
      <c r="AT177" s="1">
        <f t="shared" si="20"/>
        <v>0</v>
      </c>
      <c r="AU177" s="1">
        <f t="shared" si="21"/>
        <v>0</v>
      </c>
      <c r="AV177" s="1">
        <f t="shared" si="22"/>
        <v>0</v>
      </c>
      <c r="AW177" s="1">
        <f t="shared" si="23"/>
        <v>0</v>
      </c>
      <c r="AX177" s="1">
        <f t="shared" si="24"/>
        <v>0</v>
      </c>
    </row>
    <row r="178" spans="1:50" s="1" customFormat="1" ht="24.95" customHeight="1" outlineLevel="1" x14ac:dyDescent="0.2">
      <c r="A178" s="11"/>
      <c r="B178" s="12">
        <v>290</v>
      </c>
      <c r="C178" s="12">
        <v>440</v>
      </c>
      <c r="D178" s="12">
        <v>11083</v>
      </c>
      <c r="E178" s="13" t="s">
        <v>719</v>
      </c>
      <c r="F178" s="13" t="s">
        <v>720</v>
      </c>
      <c r="G178" s="13" t="s">
        <v>56</v>
      </c>
      <c r="H178" s="13" t="s">
        <v>40</v>
      </c>
      <c r="I178" s="12">
        <v>2025</v>
      </c>
      <c r="J178" s="13" t="s">
        <v>721</v>
      </c>
      <c r="K178" s="12">
        <v>9785961411805</v>
      </c>
      <c r="L178" s="13" t="s">
        <v>722</v>
      </c>
      <c r="M178" s="12">
        <v>170</v>
      </c>
      <c r="N178" s="14">
        <v>0.12</v>
      </c>
      <c r="O178" s="12">
        <v>115</v>
      </c>
      <c r="P178" s="12">
        <v>165</v>
      </c>
      <c r="Q178" s="12">
        <v>16</v>
      </c>
      <c r="R178" s="13" t="s">
        <v>75</v>
      </c>
      <c r="S178" s="13" t="s">
        <v>253</v>
      </c>
      <c r="T178" s="15">
        <v>10000</v>
      </c>
      <c r="U178" s="13" t="s">
        <v>44</v>
      </c>
      <c r="V178" s="13" t="s">
        <v>64</v>
      </c>
      <c r="W178" s="12">
        <v>10</v>
      </c>
      <c r="X178" s="33" t="str">
        <f>HYPERLINK("https://www.alpinabook.ru/catalog/book-sila-obayaniya","ссылка на книгу")</f>
        <v>ссылка на книгу</v>
      </c>
      <c r="Y178" s="34" t="str">
        <f>HYPERLINK("https://api-enni.alpina.ru/FilePrivilegesApproval/2","https://api-enni.alpina.ru/FilePrivilegesApproval/2")</f>
        <v>https://api-enni.alpina.ru/FilePrivilegesApproval/2</v>
      </c>
      <c r="Z178" s="13" t="s">
        <v>118</v>
      </c>
      <c r="AT178" s="1">
        <f t="shared" si="20"/>
        <v>0</v>
      </c>
      <c r="AU178" s="1">
        <f t="shared" si="21"/>
        <v>0</v>
      </c>
      <c r="AV178" s="1">
        <f t="shared" si="22"/>
        <v>0</v>
      </c>
      <c r="AW178" s="1">
        <f t="shared" si="23"/>
        <v>0</v>
      </c>
      <c r="AX178" s="1">
        <f t="shared" si="24"/>
        <v>0</v>
      </c>
    </row>
    <row r="179" spans="1:50" s="1" customFormat="1" ht="24.95" customHeight="1" outlineLevel="1" x14ac:dyDescent="0.2">
      <c r="A179" s="11"/>
      <c r="B179" s="12">
        <v>540</v>
      </c>
      <c r="C179" s="12">
        <v>840</v>
      </c>
      <c r="D179" s="12">
        <v>5926</v>
      </c>
      <c r="E179" s="13" t="s">
        <v>723</v>
      </c>
      <c r="F179" s="13" t="s">
        <v>724</v>
      </c>
      <c r="G179" s="13" t="s">
        <v>56</v>
      </c>
      <c r="H179" s="13" t="s">
        <v>40</v>
      </c>
      <c r="I179" s="12">
        <v>2025</v>
      </c>
      <c r="J179" s="13" t="s">
        <v>725</v>
      </c>
      <c r="K179" s="12">
        <v>9785961460582</v>
      </c>
      <c r="L179" s="13" t="s">
        <v>726</v>
      </c>
      <c r="M179" s="12">
        <v>320</v>
      </c>
      <c r="N179" s="14">
        <v>0.5</v>
      </c>
      <c r="O179" s="12">
        <v>146</v>
      </c>
      <c r="P179" s="12">
        <v>216</v>
      </c>
      <c r="Q179" s="12">
        <v>6</v>
      </c>
      <c r="R179" s="13" t="s">
        <v>43</v>
      </c>
      <c r="S179" s="13"/>
      <c r="T179" s="15">
        <v>1000</v>
      </c>
      <c r="U179" s="13" t="s">
        <v>52</v>
      </c>
      <c r="V179" s="13" t="s">
        <v>64</v>
      </c>
      <c r="W179" s="12">
        <v>10</v>
      </c>
      <c r="X179" s="33" t="str">
        <f>HYPERLINK("https://www.alpinabook.ru/catalog/book-sindrom-belki-v-kolese-sberbank","ссылка на книгу")</f>
        <v>ссылка на книгу</v>
      </c>
      <c r="Y179" s="34" t="str">
        <f>HYPERLINK("https://api-enni.alpina.ru/FilePrivilegesApproval/2","https://api-enni.alpina.ru/FilePrivilegesApproval/2")</f>
        <v>https://api-enni.alpina.ru/FilePrivilegesApproval/2</v>
      </c>
      <c r="Z179" s="13" t="s">
        <v>77</v>
      </c>
      <c r="AT179" s="1">
        <f t="shared" si="20"/>
        <v>0</v>
      </c>
      <c r="AU179" s="1">
        <f t="shared" si="21"/>
        <v>0</v>
      </c>
      <c r="AV179" s="1">
        <f t="shared" si="22"/>
        <v>0</v>
      </c>
      <c r="AW179" s="1">
        <f t="shared" si="23"/>
        <v>0</v>
      </c>
      <c r="AX179" s="1">
        <f t="shared" si="24"/>
        <v>0</v>
      </c>
    </row>
    <row r="180" spans="1:50" s="1" customFormat="1" ht="24.95" customHeight="1" outlineLevel="1" x14ac:dyDescent="0.2">
      <c r="A180" s="11"/>
      <c r="B180" s="12">
        <v>490</v>
      </c>
      <c r="C180" s="12">
        <v>740</v>
      </c>
      <c r="D180" s="12">
        <v>1768</v>
      </c>
      <c r="E180" s="13" t="s">
        <v>727</v>
      </c>
      <c r="F180" s="13" t="s">
        <v>728</v>
      </c>
      <c r="G180" s="13" t="s">
        <v>86</v>
      </c>
      <c r="H180" s="13" t="s">
        <v>164</v>
      </c>
      <c r="I180" s="12">
        <v>2025</v>
      </c>
      <c r="J180" s="13" t="s">
        <v>729</v>
      </c>
      <c r="K180" s="12">
        <v>9785916718386</v>
      </c>
      <c r="L180" s="13" t="s">
        <v>730</v>
      </c>
      <c r="M180" s="12">
        <v>239</v>
      </c>
      <c r="N180" s="14">
        <v>0.21</v>
      </c>
      <c r="O180" s="12">
        <v>110</v>
      </c>
      <c r="P180" s="12">
        <v>170</v>
      </c>
      <c r="Q180" s="12">
        <v>20</v>
      </c>
      <c r="R180" s="13" t="s">
        <v>731</v>
      </c>
      <c r="S180" s="13"/>
      <c r="T180" s="15">
        <v>50000</v>
      </c>
      <c r="U180" s="13" t="s">
        <v>52</v>
      </c>
      <c r="V180" s="13" t="s">
        <v>45</v>
      </c>
      <c r="W180" s="12">
        <v>10</v>
      </c>
      <c r="X180" s="33" t="str">
        <f>HYPERLINK("https://www.alpinabook.ru/catalog/book-skazat-zhizni-da","ссылка на книгу")</f>
        <v>ссылка на книгу</v>
      </c>
      <c r="Y180" s="34" t="str">
        <f>HYPERLINK("https://api-enni.alpina.ru/FilePrivilegesApproval/146","https://api-enni.alpina.ru/FilePrivilegesApproval/146")</f>
        <v>https://api-enni.alpina.ru/FilePrivilegesApproval/146</v>
      </c>
      <c r="Z180" s="13" t="s">
        <v>732</v>
      </c>
      <c r="AT180" s="1">
        <f t="shared" si="20"/>
        <v>0</v>
      </c>
      <c r="AU180" s="1">
        <f t="shared" si="21"/>
        <v>0</v>
      </c>
      <c r="AV180" s="1">
        <f t="shared" si="22"/>
        <v>0</v>
      </c>
      <c r="AW180" s="1">
        <f t="shared" si="23"/>
        <v>0</v>
      </c>
      <c r="AX180" s="1">
        <f t="shared" si="24"/>
        <v>0</v>
      </c>
    </row>
    <row r="181" spans="1:50" s="1" customFormat="1" ht="24.95" customHeight="1" outlineLevel="1" x14ac:dyDescent="0.2">
      <c r="A181" s="11"/>
      <c r="B181" s="12">
        <v>890</v>
      </c>
      <c r="C181" s="15">
        <v>1290</v>
      </c>
      <c r="D181" s="12">
        <v>24762</v>
      </c>
      <c r="E181" s="13" t="s">
        <v>733</v>
      </c>
      <c r="F181" s="13" t="s">
        <v>734</v>
      </c>
      <c r="G181" s="13" t="s">
        <v>56</v>
      </c>
      <c r="H181" s="13" t="s">
        <v>40</v>
      </c>
      <c r="I181" s="12">
        <v>2025</v>
      </c>
      <c r="J181" s="13" t="s">
        <v>735</v>
      </c>
      <c r="K181" s="12">
        <v>9785961476064</v>
      </c>
      <c r="L181" s="13" t="s">
        <v>736</v>
      </c>
      <c r="M181" s="12">
        <v>336</v>
      </c>
      <c r="N181" s="14">
        <v>0.51</v>
      </c>
      <c r="O181" s="12">
        <v>150</v>
      </c>
      <c r="P181" s="12">
        <v>220</v>
      </c>
      <c r="Q181" s="12">
        <v>5</v>
      </c>
      <c r="R181" s="13" t="s">
        <v>43</v>
      </c>
      <c r="S181" s="13"/>
      <c r="T181" s="15">
        <v>1000</v>
      </c>
      <c r="U181" s="13" t="s">
        <v>52</v>
      </c>
      <c r="V181" s="13" t="s">
        <v>59</v>
      </c>
      <c r="W181" s="12">
        <v>10</v>
      </c>
      <c r="X181" s="33" t="str">
        <f>HYPERLINK("https://www.alpinabook.ru/catalog/book-sozdavaya-emotsii","ссылка на книгу")</f>
        <v>ссылка на книгу</v>
      </c>
      <c r="Y181" s="34" t="str">
        <f>HYPERLINK("https://api-enni.alpina.ru/FilePrivilegesApproval/205","https://api-enni.alpina.ru/FilePrivilegesApproval/205")</f>
        <v>https://api-enni.alpina.ru/FilePrivilegesApproval/205</v>
      </c>
      <c r="Z181" s="13" t="s">
        <v>77</v>
      </c>
      <c r="AT181" s="1">
        <f t="shared" si="20"/>
        <v>0</v>
      </c>
      <c r="AU181" s="1">
        <f t="shared" si="21"/>
        <v>0</v>
      </c>
      <c r="AV181" s="1">
        <f t="shared" si="22"/>
        <v>0</v>
      </c>
      <c r="AW181" s="1">
        <f t="shared" si="23"/>
        <v>0</v>
      </c>
      <c r="AX181" s="1">
        <f t="shared" si="24"/>
        <v>0</v>
      </c>
    </row>
    <row r="182" spans="1:50" s="1" customFormat="1" ht="24.95" customHeight="1" outlineLevel="1" x14ac:dyDescent="0.2">
      <c r="A182" s="11"/>
      <c r="B182" s="12">
        <v>690</v>
      </c>
      <c r="C182" s="15">
        <v>1190</v>
      </c>
      <c r="D182" s="12">
        <v>7351</v>
      </c>
      <c r="E182" s="13" t="s">
        <v>501</v>
      </c>
      <c r="F182" s="13" t="s">
        <v>737</v>
      </c>
      <c r="G182" s="13" t="s">
        <v>56</v>
      </c>
      <c r="H182" s="13" t="s">
        <v>40</v>
      </c>
      <c r="I182" s="12">
        <v>2025</v>
      </c>
      <c r="J182" s="13" t="s">
        <v>738</v>
      </c>
      <c r="K182" s="12">
        <v>9785961471069</v>
      </c>
      <c r="L182" s="13" t="s">
        <v>739</v>
      </c>
      <c r="M182" s="12">
        <v>176</v>
      </c>
      <c r="N182" s="14">
        <v>0.31</v>
      </c>
      <c r="O182" s="12">
        <v>150</v>
      </c>
      <c r="P182" s="12">
        <v>220</v>
      </c>
      <c r="Q182" s="12">
        <v>10</v>
      </c>
      <c r="R182" s="13" t="s">
        <v>43</v>
      </c>
      <c r="S182" s="13" t="s">
        <v>505</v>
      </c>
      <c r="T182" s="15">
        <v>1000</v>
      </c>
      <c r="U182" s="13" t="s">
        <v>52</v>
      </c>
      <c r="V182" s="13" t="s">
        <v>64</v>
      </c>
      <c r="W182" s="12">
        <v>10</v>
      </c>
      <c r="X182" s="33" t="str">
        <f>HYPERLINK("","ссылка на книгу")</f>
        <v>ссылка на книгу</v>
      </c>
      <c r="Y182" s="34" t="str">
        <f>HYPERLINK("https://api-enni.alpina.ru/FilePrivilegesApproval/2","https://api-enni.alpina.ru/FilePrivilegesApproval/2")</f>
        <v>https://api-enni.alpina.ru/FilePrivilegesApproval/2</v>
      </c>
      <c r="Z182" s="13" t="s">
        <v>101</v>
      </c>
      <c r="AT182" s="1">
        <f t="shared" si="20"/>
        <v>0</v>
      </c>
      <c r="AU182" s="1">
        <f t="shared" si="21"/>
        <v>0</v>
      </c>
      <c r="AV182" s="1">
        <f t="shared" si="22"/>
        <v>0</v>
      </c>
      <c r="AW182" s="1">
        <f t="shared" si="23"/>
        <v>0</v>
      </c>
      <c r="AX182" s="1">
        <f t="shared" si="24"/>
        <v>0</v>
      </c>
    </row>
    <row r="183" spans="1:50" s="1" customFormat="1" ht="24.95" customHeight="1" outlineLevel="1" x14ac:dyDescent="0.2">
      <c r="A183" s="11"/>
      <c r="B183" s="12">
        <v>340</v>
      </c>
      <c r="C183" s="12">
        <v>540</v>
      </c>
      <c r="D183" s="12">
        <v>27128</v>
      </c>
      <c r="E183" s="13" t="s">
        <v>740</v>
      </c>
      <c r="F183" s="13" t="s">
        <v>741</v>
      </c>
      <c r="G183" s="13" t="s">
        <v>56</v>
      </c>
      <c r="H183" s="13" t="s">
        <v>40</v>
      </c>
      <c r="I183" s="12">
        <v>2025</v>
      </c>
      <c r="J183" s="13" t="s">
        <v>742</v>
      </c>
      <c r="K183" s="12">
        <v>9785961484076</v>
      </c>
      <c r="L183" s="13" t="s">
        <v>743</v>
      </c>
      <c r="M183" s="12">
        <v>444</v>
      </c>
      <c r="N183" s="14">
        <v>0.28999999999999998</v>
      </c>
      <c r="O183" s="12">
        <v>120</v>
      </c>
      <c r="P183" s="12">
        <v>170</v>
      </c>
      <c r="Q183" s="12">
        <v>14</v>
      </c>
      <c r="R183" s="13" t="s">
        <v>75</v>
      </c>
      <c r="S183" s="13" t="s">
        <v>253</v>
      </c>
      <c r="T183" s="15">
        <v>2000</v>
      </c>
      <c r="U183" s="13" t="s">
        <v>44</v>
      </c>
      <c r="V183" s="13" t="s">
        <v>64</v>
      </c>
      <c r="W183" s="12">
        <v>10</v>
      </c>
      <c r="X183" s="33" t="str">
        <f>HYPERLINK("https://www.alpinabook.ru/catalog/book-sportivnoe-pitanie","ссылка на книгу")</f>
        <v>ссылка на книгу</v>
      </c>
      <c r="Y183" s="34" t="str">
        <f>HYPERLINK("https://api-enni.alpina.ru/FilePrivilegesApproval/177","https://api-enni.alpina.ru/FilePrivilegesApproval/177")</f>
        <v>https://api-enni.alpina.ru/FilePrivilegesApproval/177</v>
      </c>
      <c r="Z183" s="13" t="s">
        <v>70</v>
      </c>
      <c r="AT183" s="1">
        <f t="shared" si="20"/>
        <v>0</v>
      </c>
      <c r="AU183" s="1">
        <f t="shared" si="21"/>
        <v>0</v>
      </c>
      <c r="AV183" s="1">
        <f t="shared" si="22"/>
        <v>0</v>
      </c>
      <c r="AW183" s="1">
        <f t="shared" si="23"/>
        <v>0</v>
      </c>
      <c r="AX183" s="1">
        <f t="shared" si="24"/>
        <v>0</v>
      </c>
    </row>
    <row r="184" spans="1:50" s="1" customFormat="1" ht="24.95" customHeight="1" outlineLevel="1" x14ac:dyDescent="0.2">
      <c r="A184" s="11"/>
      <c r="B184" s="12">
        <v>490</v>
      </c>
      <c r="C184" s="12">
        <v>740</v>
      </c>
      <c r="D184" s="12">
        <v>26598</v>
      </c>
      <c r="E184" s="13" t="s">
        <v>744</v>
      </c>
      <c r="F184" s="13" t="s">
        <v>745</v>
      </c>
      <c r="G184" s="13" t="s">
        <v>56</v>
      </c>
      <c r="H184" s="13"/>
      <c r="I184" s="12">
        <v>2025</v>
      </c>
      <c r="J184" s="13" t="s">
        <v>746</v>
      </c>
      <c r="K184" s="12">
        <v>9785961482386</v>
      </c>
      <c r="L184" s="13" t="s">
        <v>747</v>
      </c>
      <c r="M184" s="12">
        <v>254</v>
      </c>
      <c r="N184" s="14">
        <v>0.36</v>
      </c>
      <c r="O184" s="12">
        <v>150</v>
      </c>
      <c r="P184" s="12">
        <v>220</v>
      </c>
      <c r="Q184" s="12">
        <v>10</v>
      </c>
      <c r="R184" s="13" t="s">
        <v>43</v>
      </c>
      <c r="S184" s="13"/>
      <c r="T184" s="15">
        <v>1000</v>
      </c>
      <c r="U184" s="13" t="s">
        <v>52</v>
      </c>
      <c r="V184" s="13" t="s">
        <v>59</v>
      </c>
      <c r="W184" s="12">
        <v>10</v>
      </c>
      <c r="X184" s="33" t="str">
        <f>HYPERLINK("https://www.alpinabook.ru/catalog/book-stalin-zhil-v-nashey-kvartire","ссылка на книгу")</f>
        <v>ссылка на книгу</v>
      </c>
      <c r="Y184" s="34" t="str">
        <f>HYPERLINK("https://api-enni.alpina.ru/FilePrivilegesApproval/238","https://api-enni.alpina.ru/FilePrivilegesApproval/238")</f>
        <v>https://api-enni.alpina.ru/FilePrivilegesApproval/238</v>
      </c>
      <c r="Z184" s="13" t="s">
        <v>77</v>
      </c>
      <c r="AT184" s="1">
        <f t="shared" si="20"/>
        <v>0</v>
      </c>
      <c r="AU184" s="1">
        <f t="shared" si="21"/>
        <v>0</v>
      </c>
      <c r="AV184" s="1">
        <f t="shared" si="22"/>
        <v>0</v>
      </c>
      <c r="AW184" s="1">
        <f t="shared" si="23"/>
        <v>0</v>
      </c>
      <c r="AX184" s="1">
        <f t="shared" si="24"/>
        <v>0</v>
      </c>
    </row>
    <row r="185" spans="1:50" s="1" customFormat="1" ht="24.95" customHeight="1" outlineLevel="1" x14ac:dyDescent="0.2">
      <c r="A185" s="11"/>
      <c r="B185" s="12">
        <v>740</v>
      </c>
      <c r="C185" s="15">
        <v>1090</v>
      </c>
      <c r="D185" s="12">
        <v>29731</v>
      </c>
      <c r="E185" s="13" t="s">
        <v>748</v>
      </c>
      <c r="F185" s="13" t="s">
        <v>749</v>
      </c>
      <c r="G185" s="13" t="s">
        <v>86</v>
      </c>
      <c r="H185" s="13"/>
      <c r="I185" s="12">
        <v>2025</v>
      </c>
      <c r="J185" s="13" t="s">
        <v>750</v>
      </c>
      <c r="K185" s="12">
        <v>9785002231744</v>
      </c>
      <c r="L185" s="13" t="s">
        <v>751</v>
      </c>
      <c r="M185" s="12">
        <v>376</v>
      </c>
      <c r="N185" s="14">
        <v>0.55000000000000004</v>
      </c>
      <c r="O185" s="12">
        <v>160</v>
      </c>
      <c r="P185" s="12">
        <v>220</v>
      </c>
      <c r="Q185" s="12">
        <v>7</v>
      </c>
      <c r="R185" s="13" t="s">
        <v>100</v>
      </c>
      <c r="S185" s="13"/>
      <c r="T185" s="15">
        <v>10000</v>
      </c>
      <c r="U185" s="13" t="s">
        <v>44</v>
      </c>
      <c r="V185" s="13" t="s">
        <v>59</v>
      </c>
      <c r="W185" s="12">
        <v>10</v>
      </c>
      <c r="X185" s="33" t="str">
        <f>HYPERLINK("https://www.alpinabook.ru/catalog/book-sto-let-nedoskazannosti","ссылка на книгу")</f>
        <v>ссылка на книгу</v>
      </c>
      <c r="Y185" s="34" t="str">
        <f>HYPERLINK("https://api-enni.alpina.ru/FilePrivilegesApproval/714","https://api-enni.alpina.ru/FilePrivilegesApproval/714")</f>
        <v>https://api-enni.alpina.ru/FilePrivilegesApproval/714</v>
      </c>
      <c r="Z185" s="13" t="s">
        <v>277</v>
      </c>
      <c r="AT185" s="1">
        <f t="shared" si="20"/>
        <v>0</v>
      </c>
      <c r="AU185" s="1">
        <f t="shared" si="21"/>
        <v>0</v>
      </c>
      <c r="AV185" s="1">
        <f t="shared" si="22"/>
        <v>0</v>
      </c>
      <c r="AW185" s="1">
        <f t="shared" si="23"/>
        <v>0</v>
      </c>
      <c r="AX185" s="1">
        <f t="shared" si="24"/>
        <v>0</v>
      </c>
    </row>
    <row r="186" spans="1:50" s="1" customFormat="1" ht="24.95" customHeight="1" outlineLevel="1" x14ac:dyDescent="0.2">
      <c r="A186" s="11"/>
      <c r="B186" s="12">
        <v>340</v>
      </c>
      <c r="C186" s="12">
        <v>540</v>
      </c>
      <c r="D186" s="12">
        <v>29785</v>
      </c>
      <c r="E186" s="13" t="s">
        <v>752</v>
      </c>
      <c r="F186" s="13" t="s">
        <v>753</v>
      </c>
      <c r="G186" s="13" t="s">
        <v>56</v>
      </c>
      <c r="H186" s="13" t="s">
        <v>40</v>
      </c>
      <c r="I186" s="12">
        <v>2025</v>
      </c>
      <c r="J186" s="13" t="s">
        <v>754</v>
      </c>
      <c r="K186" s="12">
        <v>9785961493887</v>
      </c>
      <c r="L186" s="13" t="s">
        <v>755</v>
      </c>
      <c r="M186" s="12">
        <v>380</v>
      </c>
      <c r="N186" s="14">
        <v>0.3</v>
      </c>
      <c r="O186" s="12">
        <v>120</v>
      </c>
      <c r="P186" s="12">
        <v>170</v>
      </c>
      <c r="Q186" s="12">
        <v>16</v>
      </c>
      <c r="R186" s="13" t="s">
        <v>75</v>
      </c>
      <c r="S186" s="13" t="s">
        <v>596</v>
      </c>
      <c r="T186" s="15">
        <v>2500</v>
      </c>
      <c r="U186" s="13" t="s">
        <v>44</v>
      </c>
      <c r="V186" s="13" t="s">
        <v>64</v>
      </c>
      <c r="W186" s="12">
        <v>10</v>
      </c>
      <c r="X186" s="33" t="str">
        <f>HYPERLINK("https://www.alpinabook.ru/catalog/book-strannaya-devochka-kotoraya-vlyubilas-v-mozg","ссылка на книгу")</f>
        <v>ссылка на книгу</v>
      </c>
      <c r="Y186" s="34" t="str">
        <f>HYPERLINK("https://api-enni.alpina.ru/FilePrivilegesApproval/156","https://api-enni.alpina.ru/FilePrivilegesApproval/156")</f>
        <v>https://api-enni.alpina.ru/FilePrivilegesApproval/156</v>
      </c>
      <c r="Z186" s="13" t="s">
        <v>142</v>
      </c>
      <c r="AT186" s="1">
        <f t="shared" si="20"/>
        <v>0</v>
      </c>
      <c r="AU186" s="1">
        <f t="shared" si="21"/>
        <v>0</v>
      </c>
      <c r="AV186" s="1">
        <f t="shared" si="22"/>
        <v>0</v>
      </c>
      <c r="AW186" s="1">
        <f t="shared" si="23"/>
        <v>0</v>
      </c>
      <c r="AX186" s="1">
        <f t="shared" si="24"/>
        <v>0</v>
      </c>
    </row>
    <row r="187" spans="1:50" s="1" customFormat="1" ht="24.95" customHeight="1" outlineLevel="1" x14ac:dyDescent="0.2">
      <c r="A187" s="11"/>
      <c r="B187" s="12">
        <v>690</v>
      </c>
      <c r="C187" s="12">
        <v>990</v>
      </c>
      <c r="D187" s="12">
        <v>4726</v>
      </c>
      <c r="E187" s="13" t="s">
        <v>756</v>
      </c>
      <c r="F187" s="13" t="s">
        <v>757</v>
      </c>
      <c r="G187" s="13" t="s">
        <v>56</v>
      </c>
      <c r="H187" s="13"/>
      <c r="I187" s="12">
        <v>2025</v>
      </c>
      <c r="J187" s="13" t="s">
        <v>758</v>
      </c>
      <c r="K187" s="12">
        <v>9785961436570</v>
      </c>
      <c r="L187" s="13" t="s">
        <v>759</v>
      </c>
      <c r="M187" s="12">
        <v>340</v>
      </c>
      <c r="N187" s="14">
        <v>0.52</v>
      </c>
      <c r="O187" s="12">
        <v>153</v>
      </c>
      <c r="P187" s="12">
        <v>216</v>
      </c>
      <c r="Q187" s="12">
        <v>5</v>
      </c>
      <c r="R187" s="13" t="s">
        <v>43</v>
      </c>
      <c r="S187" s="13"/>
      <c r="T187" s="15">
        <v>1000</v>
      </c>
      <c r="U187" s="13" t="s">
        <v>52</v>
      </c>
      <c r="V187" s="13" t="s">
        <v>64</v>
      </c>
      <c r="W187" s="12">
        <v>10</v>
      </c>
      <c r="X187" s="33" t="str">
        <f>HYPERLINK("https://www.alpinabook.ru/catalog/book-strategiya-chistogo-lista","ссылка на книгу")</f>
        <v>ссылка на книгу</v>
      </c>
      <c r="Y187" s="34" t="str">
        <f>HYPERLINK("https://api-enni.alpina.ru/FilePrivilegesApproval/2","https://api-enni.alpina.ru/FilePrivilegesApproval/2")</f>
        <v>https://api-enni.alpina.ru/FilePrivilegesApproval/2</v>
      </c>
      <c r="Z187" s="13" t="s">
        <v>118</v>
      </c>
      <c r="AT187" s="1">
        <f t="shared" si="20"/>
        <v>0</v>
      </c>
      <c r="AU187" s="1">
        <f t="shared" si="21"/>
        <v>0</v>
      </c>
      <c r="AV187" s="1">
        <f t="shared" si="22"/>
        <v>0</v>
      </c>
      <c r="AW187" s="1">
        <f t="shared" si="23"/>
        <v>0</v>
      </c>
      <c r="AX187" s="1">
        <f t="shared" si="24"/>
        <v>0</v>
      </c>
    </row>
    <row r="188" spans="1:50" s="1" customFormat="1" ht="24.95" customHeight="1" outlineLevel="1" x14ac:dyDescent="0.2">
      <c r="A188" s="11"/>
      <c r="B188" s="12">
        <v>840</v>
      </c>
      <c r="C188" s="15">
        <v>1290</v>
      </c>
      <c r="D188" s="12">
        <v>5626</v>
      </c>
      <c r="E188" s="13" t="s">
        <v>760</v>
      </c>
      <c r="F188" s="13" t="s">
        <v>761</v>
      </c>
      <c r="G188" s="13" t="s">
        <v>56</v>
      </c>
      <c r="H188" s="13" t="s">
        <v>40</v>
      </c>
      <c r="I188" s="12">
        <v>2024</v>
      </c>
      <c r="J188" s="13" t="s">
        <v>762</v>
      </c>
      <c r="K188" s="12">
        <v>9785961418194</v>
      </c>
      <c r="L188" s="13" t="s">
        <v>763</v>
      </c>
      <c r="M188" s="12">
        <v>550</v>
      </c>
      <c r="N188" s="14">
        <v>0.56000000000000005</v>
      </c>
      <c r="O188" s="12">
        <v>140</v>
      </c>
      <c r="P188" s="12">
        <v>210</v>
      </c>
      <c r="Q188" s="12">
        <v>8</v>
      </c>
      <c r="R188" s="13" t="s">
        <v>43</v>
      </c>
      <c r="S188" s="13"/>
      <c r="T188" s="15">
        <v>12000</v>
      </c>
      <c r="U188" s="13" t="s">
        <v>44</v>
      </c>
      <c r="V188" s="13" t="s">
        <v>45</v>
      </c>
      <c r="W188" s="12">
        <v>10</v>
      </c>
      <c r="X188" s="33" t="str">
        <f>HYPERLINK("https://www.alpinabook.ru/catalog/book-terapiya-nastroeniya","ссылка на книгу")</f>
        <v>ссылка на книгу</v>
      </c>
      <c r="Y188" s="34" t="str">
        <f>HYPERLINK("https://api-enni.alpina.ru/FilePrivilegesApproval/132","https://api-enni.alpina.ru/FilePrivilegesApproval/132")</f>
        <v>https://api-enni.alpina.ru/FilePrivilegesApproval/132</v>
      </c>
      <c r="Z188" s="13"/>
      <c r="AT188" s="1">
        <f t="shared" si="20"/>
        <v>0</v>
      </c>
      <c r="AU188" s="1">
        <f t="shared" si="21"/>
        <v>0</v>
      </c>
      <c r="AV188" s="1">
        <f t="shared" si="22"/>
        <v>0</v>
      </c>
      <c r="AW188" s="1">
        <f t="shared" si="23"/>
        <v>0</v>
      </c>
      <c r="AX188" s="1">
        <f t="shared" si="24"/>
        <v>0</v>
      </c>
    </row>
    <row r="189" spans="1:50" s="1" customFormat="1" ht="24.95" customHeight="1" outlineLevel="1" x14ac:dyDescent="0.2">
      <c r="A189" s="11"/>
      <c r="B189" s="12">
        <v>520</v>
      </c>
      <c r="C189" s="12">
        <v>790</v>
      </c>
      <c r="D189" s="12">
        <v>31550</v>
      </c>
      <c r="E189" s="13" t="s">
        <v>764</v>
      </c>
      <c r="F189" s="13" t="s">
        <v>765</v>
      </c>
      <c r="G189" s="13" t="s">
        <v>56</v>
      </c>
      <c r="H189" s="13" t="s">
        <v>40</v>
      </c>
      <c r="I189" s="12">
        <v>2025</v>
      </c>
      <c r="J189" s="13" t="s">
        <v>766</v>
      </c>
      <c r="K189" s="12">
        <v>9785961499216</v>
      </c>
      <c r="L189" s="13" t="s">
        <v>767</v>
      </c>
      <c r="M189" s="12">
        <v>132</v>
      </c>
      <c r="N189" s="14">
        <v>0.27</v>
      </c>
      <c r="O189" s="12">
        <v>150</v>
      </c>
      <c r="P189" s="12">
        <v>220</v>
      </c>
      <c r="Q189" s="12">
        <v>10</v>
      </c>
      <c r="R189" s="13" t="s">
        <v>43</v>
      </c>
      <c r="S189" s="13"/>
      <c r="T189" s="15">
        <v>1000</v>
      </c>
      <c r="U189" s="13" t="s">
        <v>52</v>
      </c>
      <c r="V189" s="13" t="s">
        <v>64</v>
      </c>
      <c r="W189" s="12">
        <v>10</v>
      </c>
      <c r="X189" s="33" t="str">
        <f>HYPERLINK("https://www.alpinabook.ru/catalog/book-tekhniki-kholodnykh-zvonkov-1","ссылка на книгу")</f>
        <v>ссылка на книгу</v>
      </c>
      <c r="Y189" s="34" t="str">
        <f>HYPERLINK("https://api-enni.alpina.ru/FilePrivilegesApproval/633","https://api-enni.alpina.ru/FilePrivilegesApproval/633")</f>
        <v>https://api-enni.alpina.ru/FilePrivilegesApproval/633</v>
      </c>
      <c r="Z189" s="13" t="s">
        <v>77</v>
      </c>
      <c r="AT189" s="1">
        <f t="shared" ref="AT189:AT208" si="25">IF($A189&lt;&gt;0,1,0)</f>
        <v>0</v>
      </c>
      <c r="AU189" s="1">
        <f t="shared" ref="AU189:AU208" si="26">$A189*$B189</f>
        <v>0</v>
      </c>
      <c r="AV189" s="1">
        <f t="shared" ref="AV189:AV208" si="27">$A189*$N189</f>
        <v>0</v>
      </c>
      <c r="AW189" s="1">
        <f t="shared" ref="AW189:AW208" si="28">IF($Q189=0,0,INT($A189/$Q189))</f>
        <v>0</v>
      </c>
      <c r="AX189" s="1">
        <f t="shared" ref="AX189:AX208" si="29">$A189-$AW189*$Q189</f>
        <v>0</v>
      </c>
    </row>
    <row r="190" spans="1:50" s="1" customFormat="1" ht="24.95" customHeight="1" outlineLevel="1" x14ac:dyDescent="0.2">
      <c r="A190" s="11"/>
      <c r="B190" s="12">
        <v>550</v>
      </c>
      <c r="C190" s="12">
        <v>790</v>
      </c>
      <c r="D190" s="12">
        <v>6922</v>
      </c>
      <c r="E190" s="13" t="s">
        <v>576</v>
      </c>
      <c r="F190" s="13" t="s">
        <v>768</v>
      </c>
      <c r="G190" s="13" t="s">
        <v>56</v>
      </c>
      <c r="H190" s="13" t="s">
        <v>40</v>
      </c>
      <c r="I190" s="12">
        <v>2025</v>
      </c>
      <c r="J190" s="13" t="s">
        <v>769</v>
      </c>
      <c r="K190" s="12">
        <v>9785961465358</v>
      </c>
      <c r="L190" s="13" t="s">
        <v>770</v>
      </c>
      <c r="M190" s="12">
        <v>192</v>
      </c>
      <c r="N190" s="14">
        <v>0.28000000000000003</v>
      </c>
      <c r="O190" s="12">
        <v>140</v>
      </c>
      <c r="P190" s="12">
        <v>195</v>
      </c>
      <c r="Q190" s="12">
        <v>12</v>
      </c>
      <c r="R190" s="13" t="s">
        <v>43</v>
      </c>
      <c r="S190" s="13"/>
      <c r="T190" s="15">
        <v>20000</v>
      </c>
      <c r="U190" s="13" t="s">
        <v>44</v>
      </c>
      <c r="V190" s="13" t="s">
        <v>45</v>
      </c>
      <c r="W190" s="12">
        <v>10</v>
      </c>
      <c r="X190" s="33" t="str">
        <f>HYPERLINK("https://www.alpinabook.ru/catalog/book-tonkoe-iskusstvo-pofigizma","ссылка на книгу")</f>
        <v>ссылка на книгу</v>
      </c>
      <c r="Y190" s="34" t="str">
        <f>HYPERLINK("https://api-enni.alpina.ru/FilePrivilegesApproval/152","https://api-enni.alpina.ru/FilePrivilegesApproval/152")</f>
        <v>https://api-enni.alpina.ru/FilePrivilegesApproval/152</v>
      </c>
      <c r="Z190" s="13" t="s">
        <v>545</v>
      </c>
      <c r="AT190" s="1">
        <f t="shared" si="25"/>
        <v>0</v>
      </c>
      <c r="AU190" s="1">
        <f t="shared" si="26"/>
        <v>0</v>
      </c>
      <c r="AV190" s="1">
        <f t="shared" si="27"/>
        <v>0</v>
      </c>
      <c r="AW190" s="1">
        <f t="shared" si="28"/>
        <v>0</v>
      </c>
      <c r="AX190" s="1">
        <f t="shared" si="29"/>
        <v>0</v>
      </c>
    </row>
    <row r="191" spans="1:50" s="1" customFormat="1" ht="24.95" customHeight="1" outlineLevel="1" x14ac:dyDescent="0.2">
      <c r="A191" s="11"/>
      <c r="B191" s="12">
        <v>490</v>
      </c>
      <c r="C191" s="12">
        <v>690</v>
      </c>
      <c r="D191" s="12">
        <v>17599</v>
      </c>
      <c r="E191" s="13" t="s">
        <v>771</v>
      </c>
      <c r="F191" s="13" t="s">
        <v>772</v>
      </c>
      <c r="G191" s="13" t="s">
        <v>56</v>
      </c>
      <c r="H191" s="13" t="s">
        <v>40</v>
      </c>
      <c r="I191" s="12">
        <v>2025</v>
      </c>
      <c r="J191" s="13" t="s">
        <v>773</v>
      </c>
      <c r="K191" s="12">
        <v>9785961435122</v>
      </c>
      <c r="L191" s="13" t="s">
        <v>774</v>
      </c>
      <c r="M191" s="12">
        <v>192</v>
      </c>
      <c r="N191" s="14">
        <v>0.25</v>
      </c>
      <c r="O191" s="12">
        <v>141</v>
      </c>
      <c r="P191" s="12">
        <v>210</v>
      </c>
      <c r="Q191" s="12">
        <v>20</v>
      </c>
      <c r="R191" s="13" t="s">
        <v>43</v>
      </c>
      <c r="S191" s="13"/>
      <c r="T191" s="15">
        <v>10000</v>
      </c>
      <c r="U191" s="13" t="s">
        <v>44</v>
      </c>
      <c r="V191" s="13" t="s">
        <v>269</v>
      </c>
      <c r="W191" s="12">
        <v>10</v>
      </c>
      <c r="X191" s="33" t="str">
        <f>HYPERLINK("https://www.alpinabook.ru/catalog/book-trenazher-mozga","ссылка на книгу")</f>
        <v>ссылка на книгу</v>
      </c>
      <c r="Y191" s="34" t="str">
        <f>HYPERLINK("https://api-enni.alpina.ru/FilePrivilegesApproval/141","https://api-enni.alpina.ru/FilePrivilegesApproval/141")</f>
        <v>https://api-enni.alpina.ru/FilePrivilegesApproval/141</v>
      </c>
      <c r="Z191" s="13" t="s">
        <v>775</v>
      </c>
      <c r="AT191" s="1">
        <f t="shared" si="25"/>
        <v>0</v>
      </c>
      <c r="AU191" s="1">
        <f t="shared" si="26"/>
        <v>0</v>
      </c>
      <c r="AV191" s="1">
        <f t="shared" si="27"/>
        <v>0</v>
      </c>
      <c r="AW191" s="1">
        <f t="shared" si="28"/>
        <v>0</v>
      </c>
      <c r="AX191" s="1">
        <f t="shared" si="29"/>
        <v>0</v>
      </c>
    </row>
    <row r="192" spans="1:50" s="1" customFormat="1" ht="24.95" customHeight="1" outlineLevel="1" x14ac:dyDescent="0.2">
      <c r="A192" s="11"/>
      <c r="B192" s="12">
        <v>490</v>
      </c>
      <c r="C192" s="12">
        <v>690</v>
      </c>
      <c r="D192" s="12">
        <v>11675</v>
      </c>
      <c r="E192" s="13" t="s">
        <v>771</v>
      </c>
      <c r="F192" s="13" t="s">
        <v>776</v>
      </c>
      <c r="G192" s="13" t="s">
        <v>56</v>
      </c>
      <c r="H192" s="13" t="s">
        <v>40</v>
      </c>
      <c r="I192" s="12">
        <v>2024</v>
      </c>
      <c r="J192" s="13" t="s">
        <v>777</v>
      </c>
      <c r="K192" s="12">
        <v>9785961424584</v>
      </c>
      <c r="L192" s="13" t="s">
        <v>778</v>
      </c>
      <c r="M192" s="12">
        <v>192</v>
      </c>
      <c r="N192" s="14">
        <v>0.28000000000000003</v>
      </c>
      <c r="O192" s="12">
        <v>141</v>
      </c>
      <c r="P192" s="12">
        <v>210</v>
      </c>
      <c r="Q192" s="12">
        <v>20</v>
      </c>
      <c r="R192" s="13" t="s">
        <v>43</v>
      </c>
      <c r="S192" s="13" t="s">
        <v>779</v>
      </c>
      <c r="T192" s="15">
        <v>20000</v>
      </c>
      <c r="U192" s="13" t="s">
        <v>44</v>
      </c>
      <c r="V192" s="13" t="s">
        <v>269</v>
      </c>
      <c r="W192" s="12">
        <v>10</v>
      </c>
      <c r="X192" s="33" t="str">
        <f>HYPERLINK("https://www.alpinabook.ru/catalog/book-trenazher-pamyati","ссылка на книгу")</f>
        <v>ссылка на книгу</v>
      </c>
      <c r="Y192" s="34" t="str">
        <f>HYPERLINK("https://api-enni.alpina.ru/FilePrivilegesApproval/158","https://api-enni.alpina.ru/FilePrivilegesApproval/158")</f>
        <v>https://api-enni.alpina.ru/FilePrivilegesApproval/158</v>
      </c>
      <c r="Z192" s="13"/>
      <c r="AT192" s="1">
        <f t="shared" si="25"/>
        <v>0</v>
      </c>
      <c r="AU192" s="1">
        <f t="shared" si="26"/>
        <v>0</v>
      </c>
      <c r="AV192" s="1">
        <f t="shared" si="27"/>
        <v>0</v>
      </c>
      <c r="AW192" s="1">
        <f t="shared" si="28"/>
        <v>0</v>
      </c>
      <c r="AX192" s="1">
        <f t="shared" si="29"/>
        <v>0</v>
      </c>
    </row>
    <row r="193" spans="1:50" s="1" customFormat="1" ht="24.95" customHeight="1" outlineLevel="1" x14ac:dyDescent="0.2">
      <c r="A193" s="11"/>
      <c r="B193" s="12">
        <v>540</v>
      </c>
      <c r="C193" s="12">
        <v>790</v>
      </c>
      <c r="D193" s="12">
        <v>4929</v>
      </c>
      <c r="E193" s="13" t="s">
        <v>780</v>
      </c>
      <c r="F193" s="13" t="s">
        <v>781</v>
      </c>
      <c r="G193" s="13" t="s">
        <v>97</v>
      </c>
      <c r="H193" s="13"/>
      <c r="I193" s="12">
        <v>2025</v>
      </c>
      <c r="J193" s="13" t="s">
        <v>782</v>
      </c>
      <c r="K193" s="12">
        <v>9785907394094</v>
      </c>
      <c r="L193" s="13" t="s">
        <v>783</v>
      </c>
      <c r="M193" s="12">
        <v>250</v>
      </c>
      <c r="N193" s="14">
        <v>0.42</v>
      </c>
      <c r="O193" s="12">
        <v>153</v>
      </c>
      <c r="P193" s="12">
        <v>216</v>
      </c>
      <c r="Q193" s="12">
        <v>10</v>
      </c>
      <c r="R193" s="13" t="s">
        <v>43</v>
      </c>
      <c r="S193" s="13"/>
      <c r="T193" s="15">
        <v>1000</v>
      </c>
      <c r="U193" s="13" t="s">
        <v>52</v>
      </c>
      <c r="V193" s="13" t="s">
        <v>64</v>
      </c>
      <c r="W193" s="12">
        <v>10</v>
      </c>
      <c r="X193" s="33" t="str">
        <f>HYPERLINK("https://www.alpinabook.ru/catalog/book-trening-dlya-trenerov-na-100","ссылка на книгу")</f>
        <v>ссылка на книгу</v>
      </c>
      <c r="Y193" s="34" t="str">
        <f>HYPERLINK("https://api-enni.alpina.ru/FilePrivilegesApproval/129","https://api-enni.alpina.ru/FilePrivilegesApproval/129")</f>
        <v>https://api-enni.alpina.ru/FilePrivilegesApproval/129</v>
      </c>
      <c r="Z193" s="13" t="s">
        <v>387</v>
      </c>
      <c r="AT193" s="1">
        <f t="shared" si="25"/>
        <v>0</v>
      </c>
      <c r="AU193" s="1">
        <f t="shared" si="26"/>
        <v>0</v>
      </c>
      <c r="AV193" s="1">
        <f t="shared" si="27"/>
        <v>0</v>
      </c>
      <c r="AW193" s="1">
        <f t="shared" si="28"/>
        <v>0</v>
      </c>
      <c r="AX193" s="1">
        <f t="shared" si="29"/>
        <v>0</v>
      </c>
    </row>
    <row r="194" spans="1:50" s="1" customFormat="1" ht="24.95" customHeight="1" outlineLevel="1" x14ac:dyDescent="0.2">
      <c r="A194" s="11"/>
      <c r="B194" s="12">
        <v>290</v>
      </c>
      <c r="C194" s="12">
        <v>440</v>
      </c>
      <c r="D194" s="12">
        <v>27319</v>
      </c>
      <c r="E194" s="13" t="s">
        <v>258</v>
      </c>
      <c r="F194" s="13" t="s">
        <v>784</v>
      </c>
      <c r="G194" s="13" t="s">
        <v>56</v>
      </c>
      <c r="H194" s="13" t="s">
        <v>40</v>
      </c>
      <c r="I194" s="12">
        <v>2025</v>
      </c>
      <c r="J194" s="13" t="s">
        <v>785</v>
      </c>
      <c r="K194" s="12">
        <v>9785961484625</v>
      </c>
      <c r="L194" s="13" t="s">
        <v>786</v>
      </c>
      <c r="M194" s="12">
        <v>176</v>
      </c>
      <c r="N194" s="14">
        <v>0.14000000000000001</v>
      </c>
      <c r="O194" s="12">
        <v>120</v>
      </c>
      <c r="P194" s="12">
        <v>170</v>
      </c>
      <c r="Q194" s="12">
        <v>16</v>
      </c>
      <c r="R194" s="13" t="s">
        <v>75</v>
      </c>
      <c r="S194" s="13" t="s">
        <v>76</v>
      </c>
      <c r="T194" s="15">
        <v>10000</v>
      </c>
      <c r="U194" s="13" t="s">
        <v>44</v>
      </c>
      <c r="V194" s="13" t="s">
        <v>64</v>
      </c>
      <c r="W194" s="12">
        <v>10</v>
      </c>
      <c r="X194" s="33" t="str">
        <f>HYPERLINK("https://www.alpinabook.ru/catalog/book-ty-to-chto-ty-dumaesh","ссылка на книгу")</f>
        <v>ссылка на книгу</v>
      </c>
      <c r="Y194" s="34" t="str">
        <f>HYPERLINK("https://api-enni.alpina.ru/FilePrivilegesApproval/186","https://api-enni.alpina.ru/FilePrivilegesApproval/186")</f>
        <v>https://api-enni.alpina.ru/FilePrivilegesApproval/186</v>
      </c>
      <c r="Z194" s="13" t="s">
        <v>392</v>
      </c>
      <c r="AT194" s="1">
        <f t="shared" si="25"/>
        <v>0</v>
      </c>
      <c r="AU194" s="1">
        <f t="shared" si="26"/>
        <v>0</v>
      </c>
      <c r="AV194" s="1">
        <f t="shared" si="27"/>
        <v>0</v>
      </c>
      <c r="AW194" s="1">
        <f t="shared" si="28"/>
        <v>0</v>
      </c>
      <c r="AX194" s="1">
        <f t="shared" si="29"/>
        <v>0</v>
      </c>
    </row>
    <row r="195" spans="1:50" s="1" customFormat="1" ht="24.95" customHeight="1" outlineLevel="1" x14ac:dyDescent="0.2">
      <c r="A195" s="11"/>
      <c r="B195" s="12">
        <v>590</v>
      </c>
      <c r="C195" s="12">
        <v>840</v>
      </c>
      <c r="D195" s="12">
        <v>5413</v>
      </c>
      <c r="E195" s="13" t="s">
        <v>787</v>
      </c>
      <c r="F195" s="13" t="s">
        <v>788</v>
      </c>
      <c r="G195" s="13" t="s">
        <v>56</v>
      </c>
      <c r="H195" s="13" t="s">
        <v>40</v>
      </c>
      <c r="I195" s="12">
        <v>2025</v>
      </c>
      <c r="J195" s="13" t="s">
        <v>789</v>
      </c>
      <c r="K195" s="12">
        <v>9785961469400</v>
      </c>
      <c r="L195" s="13" t="s">
        <v>790</v>
      </c>
      <c r="M195" s="12">
        <v>180</v>
      </c>
      <c r="N195" s="14">
        <v>0.28999999999999998</v>
      </c>
      <c r="O195" s="12">
        <v>133</v>
      </c>
      <c r="P195" s="12">
        <v>206</v>
      </c>
      <c r="Q195" s="12">
        <v>10</v>
      </c>
      <c r="R195" s="13" t="s">
        <v>82</v>
      </c>
      <c r="S195" s="13"/>
      <c r="T195" s="15">
        <v>1000</v>
      </c>
      <c r="U195" s="13" t="s">
        <v>52</v>
      </c>
      <c r="V195" s="13" t="s">
        <v>64</v>
      </c>
      <c r="W195" s="12">
        <v>10</v>
      </c>
      <c r="X195" s="33" t="str">
        <f>HYPERLINK("https://www.alpinabook.ru/catalog/book-upravlenie-proektami-ot-a-do-ya","ссылка на книгу")</f>
        <v>ссылка на книгу</v>
      </c>
      <c r="Y195" s="34" t="str">
        <f>HYPERLINK("https://api-enni.alpina.ru/FilePrivilegesApproval/156","https://api-enni.alpina.ru/FilePrivilegesApproval/156")</f>
        <v>https://api-enni.alpina.ru/FilePrivilegesApproval/156</v>
      </c>
      <c r="Z195" s="13" t="s">
        <v>77</v>
      </c>
      <c r="AT195" s="1">
        <f t="shared" si="25"/>
        <v>0</v>
      </c>
      <c r="AU195" s="1">
        <f t="shared" si="26"/>
        <v>0</v>
      </c>
      <c r="AV195" s="1">
        <f t="shared" si="27"/>
        <v>0</v>
      </c>
      <c r="AW195" s="1">
        <f t="shared" si="28"/>
        <v>0</v>
      </c>
      <c r="AX195" s="1">
        <f t="shared" si="29"/>
        <v>0</v>
      </c>
    </row>
    <row r="196" spans="1:50" s="1" customFormat="1" ht="24.95" customHeight="1" outlineLevel="1" x14ac:dyDescent="0.2">
      <c r="A196" s="11"/>
      <c r="B196" s="12">
        <v>490</v>
      </c>
      <c r="C196" s="12">
        <v>740</v>
      </c>
      <c r="D196" s="12">
        <v>4930</v>
      </c>
      <c r="E196" s="13" t="s">
        <v>780</v>
      </c>
      <c r="F196" s="13" t="s">
        <v>791</v>
      </c>
      <c r="G196" s="13" t="s">
        <v>97</v>
      </c>
      <c r="H196" s="13"/>
      <c r="I196" s="12">
        <v>2025</v>
      </c>
      <c r="J196" s="13" t="s">
        <v>792</v>
      </c>
      <c r="K196" s="12">
        <v>9785961470444</v>
      </c>
      <c r="L196" s="13" t="s">
        <v>793</v>
      </c>
      <c r="M196" s="12">
        <v>238</v>
      </c>
      <c r="N196" s="14">
        <v>0.34</v>
      </c>
      <c r="O196" s="12">
        <v>135</v>
      </c>
      <c r="P196" s="12">
        <v>206</v>
      </c>
      <c r="Q196" s="12">
        <v>10</v>
      </c>
      <c r="R196" s="13" t="s">
        <v>82</v>
      </c>
      <c r="S196" s="13"/>
      <c r="T196" s="15">
        <v>1000</v>
      </c>
      <c r="U196" s="13" t="s">
        <v>52</v>
      </c>
      <c r="V196" s="13" t="s">
        <v>64</v>
      </c>
      <c r="W196" s="12">
        <v>10</v>
      </c>
      <c r="X196" s="33" t="str">
        <f>HYPERLINK("https://www.alpinabook.ru/catalog/book-upravlencheskaya-effektivnost-rukovoditelya","ссылка на книгу")</f>
        <v>ссылка на книгу</v>
      </c>
      <c r="Y196" s="34" t="str">
        <f>HYPERLINK("https://api-enni.alpina.ru/FilePrivilegesApproval/2","https://api-enni.alpina.ru/FilePrivilegesApproval/2")</f>
        <v>https://api-enni.alpina.ru/FilePrivilegesApproval/2</v>
      </c>
      <c r="Z196" s="13" t="s">
        <v>387</v>
      </c>
      <c r="AT196" s="1">
        <f t="shared" si="25"/>
        <v>0</v>
      </c>
      <c r="AU196" s="1">
        <f t="shared" si="26"/>
        <v>0</v>
      </c>
      <c r="AV196" s="1">
        <f t="shared" si="27"/>
        <v>0</v>
      </c>
      <c r="AW196" s="1">
        <f t="shared" si="28"/>
        <v>0</v>
      </c>
      <c r="AX196" s="1">
        <f t="shared" si="29"/>
        <v>0</v>
      </c>
    </row>
    <row r="197" spans="1:50" s="1" customFormat="1" ht="24.95" customHeight="1" outlineLevel="1" x14ac:dyDescent="0.2">
      <c r="A197" s="11"/>
      <c r="B197" s="15">
        <v>1190</v>
      </c>
      <c r="C197" s="15">
        <v>1690</v>
      </c>
      <c r="D197" s="12">
        <v>4855</v>
      </c>
      <c r="E197" s="13" t="s">
        <v>794</v>
      </c>
      <c r="F197" s="13" t="s">
        <v>795</v>
      </c>
      <c r="G197" s="13" t="s">
        <v>56</v>
      </c>
      <c r="H197" s="13"/>
      <c r="I197" s="12">
        <v>2025</v>
      </c>
      <c r="J197" s="13" t="s">
        <v>796</v>
      </c>
      <c r="K197" s="12">
        <v>9785961470543</v>
      </c>
      <c r="L197" s="13" t="s">
        <v>797</v>
      </c>
      <c r="M197" s="12">
        <v>482</v>
      </c>
      <c r="N197" s="14">
        <v>0.84</v>
      </c>
      <c r="O197" s="12">
        <v>168</v>
      </c>
      <c r="P197" s="12">
        <v>241</v>
      </c>
      <c r="Q197" s="12">
        <v>5</v>
      </c>
      <c r="R197" s="13" t="s">
        <v>94</v>
      </c>
      <c r="S197" s="13"/>
      <c r="T197" s="15">
        <v>1000</v>
      </c>
      <c r="U197" s="13" t="s">
        <v>52</v>
      </c>
      <c r="V197" s="13" t="s">
        <v>64</v>
      </c>
      <c r="W197" s="12">
        <v>10</v>
      </c>
      <c r="X197" s="33" t="str">
        <f>HYPERLINK("https://www.alpinabook.ru/catalog/book-finansovyy-menedzhment-eto-prosto","ссылка на книгу")</f>
        <v>ссылка на книгу</v>
      </c>
      <c r="Y197" s="34" t="str">
        <f>HYPERLINK("https://api-enni.alpina.ru/FilePrivilegesApproval/2","https://api-enni.alpina.ru/FilePrivilegesApproval/2")</f>
        <v>https://api-enni.alpina.ru/FilePrivilegesApproval/2</v>
      </c>
      <c r="Z197" s="13" t="s">
        <v>77</v>
      </c>
      <c r="AT197" s="1">
        <f t="shared" si="25"/>
        <v>0</v>
      </c>
      <c r="AU197" s="1">
        <f t="shared" si="26"/>
        <v>0</v>
      </c>
      <c r="AV197" s="1">
        <f t="shared" si="27"/>
        <v>0</v>
      </c>
      <c r="AW197" s="1">
        <f t="shared" si="28"/>
        <v>0</v>
      </c>
      <c r="AX197" s="1">
        <f t="shared" si="29"/>
        <v>0</v>
      </c>
    </row>
    <row r="198" spans="1:50" s="1" customFormat="1" ht="24.95" customHeight="1" outlineLevel="1" x14ac:dyDescent="0.2">
      <c r="A198" s="11"/>
      <c r="B198" s="12">
        <v>290</v>
      </c>
      <c r="C198" s="12">
        <v>440</v>
      </c>
      <c r="D198" s="12">
        <v>9123</v>
      </c>
      <c r="E198" s="13" t="s">
        <v>798</v>
      </c>
      <c r="F198" s="13" t="s">
        <v>799</v>
      </c>
      <c r="G198" s="13" t="s">
        <v>56</v>
      </c>
      <c r="H198" s="13" t="s">
        <v>40</v>
      </c>
      <c r="I198" s="12">
        <v>2025</v>
      </c>
      <c r="J198" s="13" t="s">
        <v>800</v>
      </c>
      <c r="K198" s="12">
        <v>9785961471403</v>
      </c>
      <c r="L198" s="13" t="s">
        <v>801</v>
      </c>
      <c r="M198" s="12">
        <v>430</v>
      </c>
      <c r="N198" s="14">
        <v>0.28999999999999998</v>
      </c>
      <c r="O198" s="12">
        <v>120</v>
      </c>
      <c r="P198" s="12">
        <v>170</v>
      </c>
      <c r="Q198" s="12">
        <v>8</v>
      </c>
      <c r="R198" s="13" t="s">
        <v>75</v>
      </c>
      <c r="S198" s="13" t="s">
        <v>253</v>
      </c>
      <c r="T198" s="15">
        <v>30000</v>
      </c>
      <c r="U198" s="13" t="s">
        <v>44</v>
      </c>
      <c r="V198" s="13" t="s">
        <v>64</v>
      </c>
      <c r="W198" s="12">
        <v>10</v>
      </c>
      <c r="X198" s="33" t="str">
        <f>HYPERLINK("https://www.alpinabook.ru/catalog/book-kharizma-kak-vliyat","ссылка на книгу")</f>
        <v>ссылка на книгу</v>
      </c>
      <c r="Y198" s="34" t="str">
        <f>HYPERLINK("https://api-enni.alpina.ru/FilePrivilegesApproval/156","https://api-enni.alpina.ru/FilePrivilegesApproval/156")</f>
        <v>https://api-enni.alpina.ru/FilePrivilegesApproval/156</v>
      </c>
      <c r="Z198" s="13" t="s">
        <v>732</v>
      </c>
      <c r="AT198" s="1">
        <f t="shared" si="25"/>
        <v>0</v>
      </c>
      <c r="AU198" s="1">
        <f t="shared" si="26"/>
        <v>0</v>
      </c>
      <c r="AV198" s="1">
        <f t="shared" si="27"/>
        <v>0</v>
      </c>
      <c r="AW198" s="1">
        <f t="shared" si="28"/>
        <v>0</v>
      </c>
      <c r="AX198" s="1">
        <f t="shared" si="29"/>
        <v>0</v>
      </c>
    </row>
    <row r="199" spans="1:50" s="1" customFormat="1" ht="24.95" customHeight="1" outlineLevel="1" x14ac:dyDescent="0.2">
      <c r="A199" s="11"/>
      <c r="B199" s="12">
        <v>290</v>
      </c>
      <c r="C199" s="12">
        <v>440</v>
      </c>
      <c r="D199" s="12">
        <v>8617</v>
      </c>
      <c r="E199" s="13" t="s">
        <v>802</v>
      </c>
      <c r="F199" s="13" t="s">
        <v>803</v>
      </c>
      <c r="G199" s="13" t="s">
        <v>56</v>
      </c>
      <c r="H199" s="13" t="s">
        <v>164</v>
      </c>
      <c r="I199" s="12">
        <v>2025</v>
      </c>
      <c r="J199" s="13" t="s">
        <v>804</v>
      </c>
      <c r="K199" s="12">
        <v>9785961468922</v>
      </c>
      <c r="L199" s="13" t="s">
        <v>805</v>
      </c>
      <c r="M199" s="12">
        <v>288</v>
      </c>
      <c r="N199" s="14">
        <v>0.19</v>
      </c>
      <c r="O199" s="12">
        <v>115</v>
      </c>
      <c r="P199" s="12">
        <v>165</v>
      </c>
      <c r="Q199" s="12">
        <v>10</v>
      </c>
      <c r="R199" s="13" t="s">
        <v>75</v>
      </c>
      <c r="S199" s="13" t="s">
        <v>76</v>
      </c>
      <c r="T199" s="15">
        <v>15000</v>
      </c>
      <c r="U199" s="13" t="s">
        <v>44</v>
      </c>
      <c r="V199" s="13" t="s">
        <v>64</v>
      </c>
      <c r="W199" s="12">
        <v>10</v>
      </c>
      <c r="X199" s="33" t="str">
        <f>HYPERLINK("https://www.alpinabook.ru/catalog/book-khoroshie-devochki","ссылка на книгу")</f>
        <v>ссылка на книгу</v>
      </c>
      <c r="Y199" s="34" t="str">
        <f>HYPERLINK("https://api-enni.alpina.ru/FilePrivilegesApproval/153","https://api-enni.alpina.ru/FilePrivilegesApproval/153")</f>
        <v>https://api-enni.alpina.ru/FilePrivilegesApproval/153</v>
      </c>
      <c r="Z199" s="13"/>
      <c r="AT199" s="1">
        <f t="shared" si="25"/>
        <v>0</v>
      </c>
      <c r="AU199" s="1">
        <f t="shared" si="26"/>
        <v>0</v>
      </c>
      <c r="AV199" s="1">
        <f t="shared" si="27"/>
        <v>0</v>
      </c>
      <c r="AW199" s="1">
        <f t="shared" si="28"/>
        <v>0</v>
      </c>
      <c r="AX199" s="1">
        <f t="shared" si="29"/>
        <v>0</v>
      </c>
    </row>
    <row r="200" spans="1:50" s="1" customFormat="1" ht="21.95" customHeight="1" outlineLevel="1" x14ac:dyDescent="0.2">
      <c r="A200" s="11"/>
      <c r="B200" s="12">
        <v>490</v>
      </c>
      <c r="C200" s="12">
        <v>740</v>
      </c>
      <c r="D200" s="12">
        <v>28990</v>
      </c>
      <c r="E200" s="13" t="s">
        <v>806</v>
      </c>
      <c r="F200" s="13" t="s">
        <v>807</v>
      </c>
      <c r="G200" s="13" t="s">
        <v>163</v>
      </c>
      <c r="H200" s="13"/>
      <c r="I200" s="12">
        <v>2025</v>
      </c>
      <c r="J200" s="13" t="s">
        <v>808</v>
      </c>
      <c r="K200" s="12">
        <v>9785961490954</v>
      </c>
      <c r="L200" s="13" t="s">
        <v>809</v>
      </c>
      <c r="M200" s="12">
        <v>48</v>
      </c>
      <c r="N200" s="14">
        <v>0.21</v>
      </c>
      <c r="O200" s="12">
        <v>170</v>
      </c>
      <c r="P200" s="12">
        <v>220</v>
      </c>
      <c r="Q200" s="12">
        <v>18</v>
      </c>
      <c r="R200" s="13" t="s">
        <v>100</v>
      </c>
      <c r="S200" s="13" t="s">
        <v>810</v>
      </c>
      <c r="T200" s="15">
        <v>2000</v>
      </c>
      <c r="U200" s="13" t="s">
        <v>52</v>
      </c>
      <c r="V200" s="13" t="s">
        <v>269</v>
      </c>
      <c r="W200" s="12">
        <v>10</v>
      </c>
      <c r="X200" s="33" t="str">
        <f>HYPERLINK("https://www.alpinabook.ru/catalog/book-chemu-ya-mogu-nauchitsya-u-nikolaya-drozdova","ссылка на книгу")</f>
        <v>ссылка на книгу</v>
      </c>
      <c r="Y200" s="34" t="str">
        <f>HYPERLINK("","")</f>
        <v/>
      </c>
      <c r="Z200" s="13" t="s">
        <v>132</v>
      </c>
      <c r="AT200" s="1">
        <f t="shared" si="25"/>
        <v>0</v>
      </c>
      <c r="AU200" s="1">
        <f t="shared" si="26"/>
        <v>0</v>
      </c>
      <c r="AV200" s="1">
        <f t="shared" si="27"/>
        <v>0</v>
      </c>
      <c r="AW200" s="1">
        <f t="shared" si="28"/>
        <v>0</v>
      </c>
      <c r="AX200" s="1">
        <f t="shared" si="29"/>
        <v>0</v>
      </c>
    </row>
    <row r="201" spans="1:50" s="1" customFormat="1" ht="24.95" customHeight="1" outlineLevel="1" x14ac:dyDescent="0.2">
      <c r="A201" s="11"/>
      <c r="B201" s="12">
        <v>290</v>
      </c>
      <c r="C201" s="12">
        <v>440</v>
      </c>
      <c r="D201" s="12">
        <v>12601</v>
      </c>
      <c r="E201" s="13" t="s">
        <v>811</v>
      </c>
      <c r="F201" s="13" t="s">
        <v>812</v>
      </c>
      <c r="G201" s="13" t="s">
        <v>56</v>
      </c>
      <c r="H201" s="13" t="s">
        <v>164</v>
      </c>
      <c r="I201" s="12">
        <v>2025</v>
      </c>
      <c r="J201" s="13" t="s">
        <v>813</v>
      </c>
      <c r="K201" s="12">
        <v>9785961425925</v>
      </c>
      <c r="L201" s="13" t="s">
        <v>814</v>
      </c>
      <c r="M201" s="12">
        <v>256</v>
      </c>
      <c r="N201" s="14">
        <v>0.17</v>
      </c>
      <c r="O201" s="12">
        <v>115</v>
      </c>
      <c r="P201" s="12">
        <v>165</v>
      </c>
      <c r="Q201" s="12">
        <v>12</v>
      </c>
      <c r="R201" s="13" t="s">
        <v>75</v>
      </c>
      <c r="S201" s="13" t="s">
        <v>815</v>
      </c>
      <c r="T201" s="15">
        <v>8000</v>
      </c>
      <c r="U201" s="13" t="s">
        <v>44</v>
      </c>
      <c r="V201" s="13" t="s">
        <v>45</v>
      </c>
      <c r="W201" s="12">
        <v>10</v>
      </c>
      <c r="X201" s="33" t="str">
        <f>HYPERLINK("https://www.alpinabook.ru/catalog/book-chernaya-ritorika","ссылка на книгу")</f>
        <v>ссылка на книгу</v>
      </c>
      <c r="Y201" s="34" t="str">
        <f>HYPERLINK("https://api-enni.alpina.ru/FilePrivilegesApproval/140","https://api-enni.alpina.ru/FilePrivilegesApproval/140")</f>
        <v>https://api-enni.alpina.ru/FilePrivilegesApproval/140</v>
      </c>
      <c r="Z201" s="13" t="s">
        <v>392</v>
      </c>
      <c r="AT201" s="1">
        <f t="shared" si="25"/>
        <v>0</v>
      </c>
      <c r="AU201" s="1">
        <f t="shared" si="26"/>
        <v>0</v>
      </c>
      <c r="AV201" s="1">
        <f t="shared" si="27"/>
        <v>0</v>
      </c>
      <c r="AW201" s="1">
        <f t="shared" si="28"/>
        <v>0</v>
      </c>
      <c r="AX201" s="1">
        <f t="shared" si="29"/>
        <v>0</v>
      </c>
    </row>
    <row r="202" spans="1:50" s="1" customFormat="1" ht="24.95" customHeight="1" outlineLevel="1" x14ac:dyDescent="0.2">
      <c r="A202" s="11"/>
      <c r="B202" s="12">
        <v>640</v>
      </c>
      <c r="C202" s="12">
        <v>940</v>
      </c>
      <c r="D202" s="12">
        <v>18864</v>
      </c>
      <c r="E202" s="13" t="s">
        <v>816</v>
      </c>
      <c r="F202" s="13" t="s">
        <v>817</v>
      </c>
      <c r="G202" s="13" t="s">
        <v>56</v>
      </c>
      <c r="H202" s="13" t="s">
        <v>40</v>
      </c>
      <c r="I202" s="12">
        <v>2025</v>
      </c>
      <c r="J202" s="13" t="s">
        <v>818</v>
      </c>
      <c r="K202" s="12">
        <v>9785961475531</v>
      </c>
      <c r="L202" s="13" t="s">
        <v>819</v>
      </c>
      <c r="M202" s="12">
        <v>300</v>
      </c>
      <c r="N202" s="14">
        <v>0.46</v>
      </c>
      <c r="O202" s="12">
        <v>150</v>
      </c>
      <c r="P202" s="12">
        <v>220</v>
      </c>
      <c r="Q202" s="12">
        <v>5</v>
      </c>
      <c r="R202" s="13" t="s">
        <v>43</v>
      </c>
      <c r="S202" s="13"/>
      <c r="T202" s="15">
        <v>1000</v>
      </c>
      <c r="U202" s="13" t="s">
        <v>52</v>
      </c>
      <c r="V202" s="13" t="s">
        <v>64</v>
      </c>
      <c r="W202" s="12">
        <v>10</v>
      </c>
      <c r="X202" s="33" t="str">
        <f>HYPERLINK("https://www.alpinabook.ru/catalog/book-4-tipa-myshleniya-kniga-ii","ссылка на книгу")</f>
        <v>ссылка на книгу</v>
      </c>
      <c r="Y202" s="34" t="str">
        <f>HYPERLINK("https://api-enni.alpina.ru/FilePrivilegesApproval/152","https://api-enni.alpina.ru/FilePrivilegesApproval/152")</f>
        <v>https://api-enni.alpina.ru/FilePrivilegesApproval/152</v>
      </c>
      <c r="Z202" s="13" t="s">
        <v>282</v>
      </c>
      <c r="AT202" s="1">
        <f t="shared" si="25"/>
        <v>0</v>
      </c>
      <c r="AU202" s="1">
        <f t="shared" si="26"/>
        <v>0</v>
      </c>
      <c r="AV202" s="1">
        <f t="shared" si="27"/>
        <v>0</v>
      </c>
      <c r="AW202" s="1">
        <f t="shared" si="28"/>
        <v>0</v>
      </c>
      <c r="AX202" s="1">
        <f t="shared" si="29"/>
        <v>0</v>
      </c>
    </row>
    <row r="203" spans="1:50" s="1" customFormat="1" ht="24.95" customHeight="1" outlineLevel="1" x14ac:dyDescent="0.2">
      <c r="A203" s="11"/>
      <c r="B203" s="12">
        <v>640</v>
      </c>
      <c r="C203" s="12">
        <v>940</v>
      </c>
      <c r="D203" s="12">
        <v>18863</v>
      </c>
      <c r="E203" s="13" t="s">
        <v>816</v>
      </c>
      <c r="F203" s="13" t="s">
        <v>820</v>
      </c>
      <c r="G203" s="13" t="s">
        <v>56</v>
      </c>
      <c r="H203" s="13" t="s">
        <v>40</v>
      </c>
      <c r="I203" s="12">
        <v>2025</v>
      </c>
      <c r="J203" s="13" t="s">
        <v>821</v>
      </c>
      <c r="K203" s="12">
        <v>9785961475548</v>
      </c>
      <c r="L203" s="13" t="s">
        <v>822</v>
      </c>
      <c r="M203" s="12">
        <v>324</v>
      </c>
      <c r="N203" s="14">
        <v>0.49</v>
      </c>
      <c r="O203" s="12">
        <v>150</v>
      </c>
      <c r="P203" s="12">
        <v>220</v>
      </c>
      <c r="Q203" s="12">
        <v>5</v>
      </c>
      <c r="R203" s="13" t="s">
        <v>43</v>
      </c>
      <c r="S203" s="13"/>
      <c r="T203" s="15">
        <v>1000</v>
      </c>
      <c r="U203" s="13" t="s">
        <v>52</v>
      </c>
      <c r="V203" s="13" t="s">
        <v>64</v>
      </c>
      <c r="W203" s="12">
        <v>10</v>
      </c>
      <c r="X203" s="33" t="str">
        <f>HYPERLINK("https://www.alpinabook.ru/catalog/book-4-tipa-myshleniya-kniga-i","ссылка на книгу")</f>
        <v>ссылка на книгу</v>
      </c>
      <c r="Y203" s="34" t="str">
        <f>HYPERLINK("https://api-enni.alpina.ru/FilePrivilegesApproval/152","https://api-enni.alpina.ru/FilePrivilegesApproval/152")</f>
        <v>https://api-enni.alpina.ru/FilePrivilegesApproval/152</v>
      </c>
      <c r="Z203" s="13" t="s">
        <v>77</v>
      </c>
      <c r="AT203" s="1">
        <f t="shared" si="25"/>
        <v>0</v>
      </c>
      <c r="AU203" s="1">
        <f t="shared" si="26"/>
        <v>0</v>
      </c>
      <c r="AV203" s="1">
        <f t="shared" si="27"/>
        <v>0</v>
      </c>
      <c r="AW203" s="1">
        <f t="shared" si="28"/>
        <v>0</v>
      </c>
      <c r="AX203" s="1">
        <f t="shared" si="29"/>
        <v>0</v>
      </c>
    </row>
    <row r="204" spans="1:50" s="1" customFormat="1" ht="24.95" customHeight="1" outlineLevel="1" x14ac:dyDescent="0.2">
      <c r="A204" s="11"/>
      <c r="B204" s="15">
        <v>1090</v>
      </c>
      <c r="C204" s="15">
        <v>1590</v>
      </c>
      <c r="D204" s="12">
        <v>2283</v>
      </c>
      <c r="E204" s="13" t="s">
        <v>823</v>
      </c>
      <c r="F204" s="13" t="s">
        <v>824</v>
      </c>
      <c r="G204" s="13" t="s">
        <v>86</v>
      </c>
      <c r="H204" s="13" t="s">
        <v>40</v>
      </c>
      <c r="I204" s="12">
        <v>2023</v>
      </c>
      <c r="J204" s="13" t="s">
        <v>825</v>
      </c>
      <c r="K204" s="12">
        <v>9785916718348</v>
      </c>
      <c r="L204" s="13" t="s">
        <v>826</v>
      </c>
      <c r="M204" s="12">
        <v>768</v>
      </c>
      <c r="N204" s="14">
        <v>0.83</v>
      </c>
      <c r="O204" s="12">
        <v>150</v>
      </c>
      <c r="P204" s="12">
        <v>220</v>
      </c>
      <c r="Q204" s="12">
        <v>5</v>
      </c>
      <c r="R204" s="13" t="s">
        <v>43</v>
      </c>
      <c r="S204" s="13"/>
      <c r="T204" s="15">
        <v>5000</v>
      </c>
      <c r="U204" s="13" t="s">
        <v>52</v>
      </c>
      <c r="V204" s="13" t="s">
        <v>45</v>
      </c>
      <c r="W204" s="12">
        <v>10</v>
      </c>
      <c r="X204" s="33" t="str">
        <f>HYPERLINK("https://www.alpinabook.ru/catalog/book-effekt-lyutsifera","ссылка на книгу")</f>
        <v>ссылка на книгу</v>
      </c>
      <c r="Y204" s="34" t="str">
        <f>HYPERLINK("https://api-enni.alpina.ru/FilePrivilegesApproval/127","https://api-enni.alpina.ru/FilePrivilegesApproval/127")</f>
        <v>https://api-enni.alpina.ru/FilePrivilegesApproval/127</v>
      </c>
      <c r="Z204" s="13" t="s">
        <v>262</v>
      </c>
      <c r="AT204" s="1">
        <f t="shared" si="25"/>
        <v>0</v>
      </c>
      <c r="AU204" s="1">
        <f t="shared" si="26"/>
        <v>0</v>
      </c>
      <c r="AV204" s="1">
        <f t="shared" si="27"/>
        <v>0</v>
      </c>
      <c r="AW204" s="1">
        <f t="shared" si="28"/>
        <v>0</v>
      </c>
      <c r="AX204" s="1">
        <f t="shared" si="29"/>
        <v>0</v>
      </c>
    </row>
    <row r="205" spans="1:50" s="1" customFormat="1" ht="24.95" customHeight="1" outlineLevel="1" x14ac:dyDescent="0.2">
      <c r="A205" s="11"/>
      <c r="B205" s="12">
        <v>840</v>
      </c>
      <c r="C205" s="15">
        <v>1290</v>
      </c>
      <c r="D205" s="12">
        <v>8035</v>
      </c>
      <c r="E205" s="13" t="s">
        <v>827</v>
      </c>
      <c r="F205" s="13" t="s">
        <v>828</v>
      </c>
      <c r="G205" s="13" t="s">
        <v>56</v>
      </c>
      <c r="H205" s="13"/>
      <c r="I205" s="12">
        <v>2025</v>
      </c>
      <c r="J205" s="13" t="s">
        <v>829</v>
      </c>
      <c r="K205" s="12">
        <v>9785961465419</v>
      </c>
      <c r="L205" s="13" t="s">
        <v>830</v>
      </c>
      <c r="M205" s="12">
        <v>376</v>
      </c>
      <c r="N205" s="14">
        <v>0.56999999999999995</v>
      </c>
      <c r="O205" s="12">
        <v>140</v>
      </c>
      <c r="P205" s="12">
        <v>210</v>
      </c>
      <c r="Q205" s="12">
        <v>8</v>
      </c>
      <c r="R205" s="13" t="s">
        <v>43</v>
      </c>
      <c r="S205" s="13"/>
      <c r="T205" s="15">
        <v>7000</v>
      </c>
      <c r="U205" s="13" t="s">
        <v>44</v>
      </c>
      <c r="V205" s="13" t="s">
        <v>59</v>
      </c>
      <c r="W205" s="12">
        <v>10</v>
      </c>
      <c r="X205" s="33" t="str">
        <f>HYPERLINK("https://www.alpinabook.ru/catalog/book-ya-manipuliruyu-toboy","ссылка на книгу")</f>
        <v>ссылка на книгу</v>
      </c>
      <c r="Y205" s="34" t="str">
        <f>HYPERLINK("https://api-enni.alpina.ru/FilePrivilegesApproval/152","https://api-enni.alpina.ru/FilePrivilegesApproval/152")</f>
        <v>https://api-enni.alpina.ru/FilePrivilegesApproval/152</v>
      </c>
      <c r="Z205" s="13" t="s">
        <v>775</v>
      </c>
      <c r="AT205" s="1">
        <f t="shared" si="25"/>
        <v>0</v>
      </c>
      <c r="AU205" s="1">
        <f t="shared" si="26"/>
        <v>0</v>
      </c>
      <c r="AV205" s="1">
        <f t="shared" si="27"/>
        <v>0</v>
      </c>
      <c r="AW205" s="1">
        <f t="shared" si="28"/>
        <v>0</v>
      </c>
      <c r="AX205" s="1">
        <f t="shared" si="29"/>
        <v>0</v>
      </c>
    </row>
    <row r="206" spans="1:50" s="1" customFormat="1" ht="24.95" customHeight="1" outlineLevel="1" x14ac:dyDescent="0.2">
      <c r="A206" s="11"/>
      <c r="B206" s="12">
        <v>590</v>
      </c>
      <c r="C206" s="12">
        <v>840</v>
      </c>
      <c r="D206" s="12">
        <v>20568</v>
      </c>
      <c r="E206" s="13" t="s">
        <v>831</v>
      </c>
      <c r="F206" s="13" t="s">
        <v>832</v>
      </c>
      <c r="G206" s="13" t="s">
        <v>56</v>
      </c>
      <c r="H206" s="13" t="s">
        <v>40</v>
      </c>
      <c r="I206" s="12">
        <v>2025</v>
      </c>
      <c r="J206" s="13" t="s">
        <v>833</v>
      </c>
      <c r="K206" s="12">
        <v>9785961440423</v>
      </c>
      <c r="L206" s="13" t="s">
        <v>834</v>
      </c>
      <c r="M206" s="12">
        <v>336</v>
      </c>
      <c r="N206" s="14">
        <v>0.49</v>
      </c>
      <c r="O206" s="12">
        <v>150</v>
      </c>
      <c r="P206" s="12">
        <v>220</v>
      </c>
      <c r="Q206" s="12">
        <v>5</v>
      </c>
      <c r="R206" s="13" t="s">
        <v>43</v>
      </c>
      <c r="S206" s="13"/>
      <c r="T206" s="15">
        <v>1000</v>
      </c>
      <c r="U206" s="13" t="s">
        <v>52</v>
      </c>
      <c r="V206" s="13" t="s">
        <v>45</v>
      </c>
      <c r="W206" s="12">
        <v>10</v>
      </c>
      <c r="X206" s="33" t="str">
        <f>HYPERLINK("https://www.alpinabook.ru/catalog/book-ya-ne-ya","ссылка на книгу")</f>
        <v>ссылка на книгу</v>
      </c>
      <c r="Y206" s="34" t="str">
        <f>HYPERLINK("https://api-enni.alpina.ru/FilePrivilegesApproval/124","https://api-enni.alpina.ru/FilePrivilegesApproval/124")</f>
        <v>https://api-enni.alpina.ru/FilePrivilegesApproval/124</v>
      </c>
      <c r="Z206" s="13" t="s">
        <v>387</v>
      </c>
      <c r="AT206" s="1">
        <f t="shared" si="25"/>
        <v>0</v>
      </c>
      <c r="AU206" s="1">
        <f t="shared" si="26"/>
        <v>0</v>
      </c>
      <c r="AV206" s="1">
        <f t="shared" si="27"/>
        <v>0</v>
      </c>
      <c r="AW206" s="1">
        <f t="shared" si="28"/>
        <v>0</v>
      </c>
      <c r="AX206" s="1">
        <f t="shared" si="29"/>
        <v>0</v>
      </c>
    </row>
    <row r="207" spans="1:50" s="1" customFormat="1" ht="24.95" customHeight="1" outlineLevel="1" x14ac:dyDescent="0.2">
      <c r="A207" s="11"/>
      <c r="B207" s="12">
        <v>490</v>
      </c>
      <c r="C207" s="12">
        <v>740</v>
      </c>
      <c r="D207" s="12">
        <v>8317</v>
      </c>
      <c r="E207" s="13" t="s">
        <v>510</v>
      </c>
      <c r="F207" s="13" t="s">
        <v>835</v>
      </c>
      <c r="G207" s="13" t="s">
        <v>56</v>
      </c>
      <c r="H207" s="13"/>
      <c r="I207" s="12">
        <v>2018</v>
      </c>
      <c r="J207" s="13" t="s">
        <v>836</v>
      </c>
      <c r="K207" s="12">
        <v>9785961466690</v>
      </c>
      <c r="L207" s="13" t="s">
        <v>837</v>
      </c>
      <c r="M207" s="12">
        <v>140</v>
      </c>
      <c r="N207" s="14">
        <v>0.28999999999999998</v>
      </c>
      <c r="O207" s="12">
        <v>153</v>
      </c>
      <c r="P207" s="12">
        <v>216</v>
      </c>
      <c r="Q207" s="12">
        <v>10</v>
      </c>
      <c r="R207" s="13" t="s">
        <v>43</v>
      </c>
      <c r="S207" s="13"/>
      <c r="T207" s="15">
        <v>1000</v>
      </c>
      <c r="U207" s="13" t="s">
        <v>52</v>
      </c>
      <c r="V207" s="13" t="s">
        <v>64</v>
      </c>
      <c r="W207" s="12">
        <v>10</v>
      </c>
      <c r="X207" s="33" t="str">
        <f>HYPERLINK("https://www.alpinabook.ru/catalog/book-ya-slyshu-chto-vy-dumaete-na-samom-dele","ссылка на книгу")</f>
        <v>ссылка на книгу</v>
      </c>
      <c r="Y207" s="34" t="str">
        <f>HYPERLINK("https://api-enni.alpina.ru/FilePrivilegesApproval/156","https://api-enni.alpina.ru/FilePrivilegesApproval/156")</f>
        <v>https://api-enni.alpina.ru/FilePrivilegesApproval/156</v>
      </c>
      <c r="Z207" s="13" t="s">
        <v>118</v>
      </c>
      <c r="AT207" s="1">
        <f t="shared" si="25"/>
        <v>0</v>
      </c>
      <c r="AU207" s="1">
        <f t="shared" si="26"/>
        <v>0</v>
      </c>
      <c r="AV207" s="1">
        <f t="shared" si="27"/>
        <v>0</v>
      </c>
      <c r="AW207" s="1">
        <f t="shared" si="28"/>
        <v>0</v>
      </c>
      <c r="AX207" s="1">
        <f t="shared" si="29"/>
        <v>0</v>
      </c>
    </row>
    <row r="208" spans="1:50" s="1" customFormat="1" ht="24.95" customHeight="1" outlineLevel="1" x14ac:dyDescent="0.2">
      <c r="A208" s="11"/>
      <c r="B208" s="12">
        <v>890</v>
      </c>
      <c r="C208" s="15">
        <v>1290</v>
      </c>
      <c r="D208" s="12">
        <v>18519</v>
      </c>
      <c r="E208" s="13" t="s">
        <v>838</v>
      </c>
      <c r="F208" s="13" t="s">
        <v>839</v>
      </c>
      <c r="G208" s="13" t="s">
        <v>56</v>
      </c>
      <c r="H208" s="13"/>
      <c r="I208" s="12">
        <v>2025</v>
      </c>
      <c r="J208" s="13" t="s">
        <v>840</v>
      </c>
      <c r="K208" s="12">
        <v>9785961435825</v>
      </c>
      <c r="L208" s="13" t="s">
        <v>841</v>
      </c>
      <c r="M208" s="12">
        <v>448</v>
      </c>
      <c r="N208" s="14">
        <v>0.63</v>
      </c>
      <c r="O208" s="12">
        <v>140</v>
      </c>
      <c r="P208" s="12">
        <v>200</v>
      </c>
      <c r="Q208" s="12">
        <v>6</v>
      </c>
      <c r="R208" s="13" t="s">
        <v>43</v>
      </c>
      <c r="S208" s="13"/>
      <c r="T208" s="15">
        <v>10000</v>
      </c>
      <c r="U208" s="13" t="s">
        <v>44</v>
      </c>
      <c r="V208" s="13" t="s">
        <v>59</v>
      </c>
      <c r="W208" s="12">
        <v>10</v>
      </c>
      <c r="X208" s="33" t="str">
        <f>HYPERLINK("https://www.alpinabook.ru/catalog/book-yasno-ponyatno","ссылка на книгу")</f>
        <v>ссылка на книгу</v>
      </c>
      <c r="Y208" s="34" t="str">
        <f>HYPERLINK("https://api-enni.alpina.ru/FilePrivilegesApproval/109","https://api-enni.alpina.ru/FilePrivilegesApproval/109")</f>
        <v>https://api-enni.alpina.ru/FilePrivilegesApproval/109</v>
      </c>
      <c r="Z208" s="13" t="s">
        <v>545</v>
      </c>
      <c r="AT208" s="1">
        <f t="shared" si="25"/>
        <v>0</v>
      </c>
      <c r="AU208" s="1">
        <f t="shared" si="26"/>
        <v>0</v>
      </c>
      <c r="AV208" s="1">
        <f t="shared" si="27"/>
        <v>0</v>
      </c>
      <c r="AW208" s="1">
        <f t="shared" si="28"/>
        <v>0</v>
      </c>
      <c r="AX208" s="1">
        <f t="shared" si="29"/>
        <v>0</v>
      </c>
    </row>
    <row r="209" spans="1:50" ht="15" customHeight="1" x14ac:dyDescent="0.2">
      <c r="A209" s="49" t="s">
        <v>842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17"/>
    </row>
    <row r="210" spans="1:50" s="1" customFormat="1" ht="24.95" customHeight="1" outlineLevel="1" x14ac:dyDescent="0.2">
      <c r="A210" s="11"/>
      <c r="B210" s="12">
        <v>490</v>
      </c>
      <c r="C210" s="12">
        <v>740</v>
      </c>
      <c r="D210" s="12">
        <v>1768</v>
      </c>
      <c r="E210" s="13" t="s">
        <v>727</v>
      </c>
      <c r="F210" s="13" t="s">
        <v>728</v>
      </c>
      <c r="G210" s="13" t="s">
        <v>86</v>
      </c>
      <c r="H210" s="13" t="s">
        <v>164</v>
      </c>
      <c r="I210" s="12">
        <v>2025</v>
      </c>
      <c r="J210" s="13" t="s">
        <v>729</v>
      </c>
      <c r="K210" s="12">
        <v>9785916718386</v>
      </c>
      <c r="L210" s="13" t="s">
        <v>730</v>
      </c>
      <c r="M210" s="12">
        <v>239</v>
      </c>
      <c r="N210" s="14">
        <v>0.21</v>
      </c>
      <c r="O210" s="12">
        <v>110</v>
      </c>
      <c r="P210" s="12">
        <v>170</v>
      </c>
      <c r="Q210" s="12">
        <v>20</v>
      </c>
      <c r="R210" s="13" t="s">
        <v>731</v>
      </c>
      <c r="S210" s="13"/>
      <c r="T210" s="15">
        <v>50000</v>
      </c>
      <c r="U210" s="13" t="s">
        <v>52</v>
      </c>
      <c r="V210" s="13" t="s">
        <v>45</v>
      </c>
      <c r="W210" s="12">
        <v>10</v>
      </c>
      <c r="X210" s="33" t="str">
        <f>HYPERLINK("https://www.alpinabook.ru/catalog/book-skazat-zhizni-da","ссылка на книгу")</f>
        <v>ссылка на книгу</v>
      </c>
      <c r="Y210" s="34" t="str">
        <f>HYPERLINK("https://api-enni.alpina.ru/FilePrivilegesApproval/146","https://api-enni.alpina.ru/FilePrivilegesApproval/146")</f>
        <v>https://api-enni.alpina.ru/FilePrivilegesApproval/146</v>
      </c>
      <c r="Z210" s="13" t="s">
        <v>732</v>
      </c>
      <c r="AT210" s="1">
        <f t="shared" ref="AT210:AT246" si="30">IF($A210&lt;&gt;0,1,0)</f>
        <v>0</v>
      </c>
      <c r="AU210" s="1">
        <f t="shared" ref="AU210:AU246" si="31">$A210*$B210</f>
        <v>0</v>
      </c>
      <c r="AV210" s="1">
        <f t="shared" ref="AV210:AV246" si="32">$A210*$N210</f>
        <v>0</v>
      </c>
      <c r="AW210" s="1">
        <f t="shared" ref="AW210:AW246" si="33">IF($Q210=0,0,INT($A210/$Q210))</f>
        <v>0</v>
      </c>
      <c r="AX210" s="1">
        <f t="shared" ref="AX210:AX246" si="34">$A210-$AW210*$Q210</f>
        <v>0</v>
      </c>
    </row>
    <row r="211" spans="1:50" s="1" customFormat="1" ht="24.95" customHeight="1" outlineLevel="1" x14ac:dyDescent="0.2">
      <c r="A211" s="11"/>
      <c r="B211" s="12">
        <v>290</v>
      </c>
      <c r="C211" s="12">
        <v>440</v>
      </c>
      <c r="D211" s="12">
        <v>9123</v>
      </c>
      <c r="E211" s="13" t="s">
        <v>798</v>
      </c>
      <c r="F211" s="13" t="s">
        <v>799</v>
      </c>
      <c r="G211" s="13" t="s">
        <v>56</v>
      </c>
      <c r="H211" s="13" t="s">
        <v>40</v>
      </c>
      <c r="I211" s="12">
        <v>2025</v>
      </c>
      <c r="J211" s="13" t="s">
        <v>800</v>
      </c>
      <c r="K211" s="12">
        <v>9785961471403</v>
      </c>
      <c r="L211" s="13" t="s">
        <v>801</v>
      </c>
      <c r="M211" s="12">
        <v>430</v>
      </c>
      <c r="N211" s="14">
        <v>0.28999999999999998</v>
      </c>
      <c r="O211" s="12">
        <v>120</v>
      </c>
      <c r="P211" s="12">
        <v>170</v>
      </c>
      <c r="Q211" s="12">
        <v>8</v>
      </c>
      <c r="R211" s="13" t="s">
        <v>75</v>
      </c>
      <c r="S211" s="13" t="s">
        <v>253</v>
      </c>
      <c r="T211" s="15">
        <v>30000</v>
      </c>
      <c r="U211" s="13" t="s">
        <v>44</v>
      </c>
      <c r="V211" s="13" t="s">
        <v>64</v>
      </c>
      <c r="W211" s="12">
        <v>10</v>
      </c>
      <c r="X211" s="33" t="str">
        <f>HYPERLINK("https://www.alpinabook.ru/catalog/book-kharizma-kak-vliyat","ссылка на книгу")</f>
        <v>ссылка на книгу</v>
      </c>
      <c r="Y211" s="34" t="str">
        <f>HYPERLINK("https://api-enni.alpina.ru/FilePrivilegesApproval/156","https://api-enni.alpina.ru/FilePrivilegesApproval/156")</f>
        <v>https://api-enni.alpina.ru/FilePrivilegesApproval/156</v>
      </c>
      <c r="Z211" s="13" t="s">
        <v>732</v>
      </c>
      <c r="AT211" s="1">
        <f t="shared" si="30"/>
        <v>0</v>
      </c>
      <c r="AU211" s="1">
        <f t="shared" si="31"/>
        <v>0</v>
      </c>
      <c r="AV211" s="1">
        <f t="shared" si="32"/>
        <v>0</v>
      </c>
      <c r="AW211" s="1">
        <f t="shared" si="33"/>
        <v>0</v>
      </c>
      <c r="AX211" s="1">
        <f t="shared" si="34"/>
        <v>0</v>
      </c>
    </row>
    <row r="212" spans="1:50" s="1" customFormat="1" ht="24.95" customHeight="1" outlineLevel="1" x14ac:dyDescent="0.2">
      <c r="A212" s="11"/>
      <c r="B212" s="12">
        <v>550</v>
      </c>
      <c r="C212" s="12">
        <v>790</v>
      </c>
      <c r="D212" s="12">
        <v>6922</v>
      </c>
      <c r="E212" s="13" t="s">
        <v>576</v>
      </c>
      <c r="F212" s="13" t="s">
        <v>768</v>
      </c>
      <c r="G212" s="13" t="s">
        <v>56</v>
      </c>
      <c r="H212" s="13" t="s">
        <v>40</v>
      </c>
      <c r="I212" s="12">
        <v>2025</v>
      </c>
      <c r="J212" s="13" t="s">
        <v>769</v>
      </c>
      <c r="K212" s="12">
        <v>9785961465358</v>
      </c>
      <c r="L212" s="13" t="s">
        <v>770</v>
      </c>
      <c r="M212" s="12">
        <v>192</v>
      </c>
      <c r="N212" s="14">
        <v>0.28000000000000003</v>
      </c>
      <c r="O212" s="12">
        <v>140</v>
      </c>
      <c r="P212" s="12">
        <v>195</v>
      </c>
      <c r="Q212" s="12">
        <v>12</v>
      </c>
      <c r="R212" s="13" t="s">
        <v>43</v>
      </c>
      <c r="S212" s="13"/>
      <c r="T212" s="15">
        <v>20000</v>
      </c>
      <c r="U212" s="13" t="s">
        <v>44</v>
      </c>
      <c r="V212" s="13" t="s">
        <v>45</v>
      </c>
      <c r="W212" s="12">
        <v>10</v>
      </c>
      <c r="X212" s="33" t="str">
        <f>HYPERLINK("https://www.alpinabook.ru/catalog/book-tonkoe-iskusstvo-pofigizma","ссылка на книгу")</f>
        <v>ссылка на книгу</v>
      </c>
      <c r="Y212" s="34" t="str">
        <f>HYPERLINK("https://api-enni.alpina.ru/FilePrivilegesApproval/152","https://api-enni.alpina.ru/FilePrivilegesApproval/152")</f>
        <v>https://api-enni.alpina.ru/FilePrivilegesApproval/152</v>
      </c>
      <c r="Z212" s="13" t="s">
        <v>545</v>
      </c>
      <c r="AT212" s="1">
        <f t="shared" si="30"/>
        <v>0</v>
      </c>
      <c r="AU212" s="1">
        <f t="shared" si="31"/>
        <v>0</v>
      </c>
      <c r="AV212" s="1">
        <f t="shared" si="32"/>
        <v>0</v>
      </c>
      <c r="AW212" s="1">
        <f t="shared" si="33"/>
        <v>0</v>
      </c>
      <c r="AX212" s="1">
        <f t="shared" si="34"/>
        <v>0</v>
      </c>
    </row>
    <row r="213" spans="1:50" s="1" customFormat="1" ht="24.95" customHeight="1" outlineLevel="1" x14ac:dyDescent="0.2">
      <c r="A213" s="11"/>
      <c r="B213" s="12">
        <v>790</v>
      </c>
      <c r="C213" s="15">
        <v>1190</v>
      </c>
      <c r="D213" s="12">
        <v>31945</v>
      </c>
      <c r="E213" s="13" t="s">
        <v>339</v>
      </c>
      <c r="F213" s="13" t="s">
        <v>340</v>
      </c>
      <c r="G213" s="13" t="s">
        <v>39</v>
      </c>
      <c r="H213" s="13"/>
      <c r="I213" s="12">
        <v>2025</v>
      </c>
      <c r="J213" s="13" t="s">
        <v>341</v>
      </c>
      <c r="K213" s="12">
        <v>9785002234530</v>
      </c>
      <c r="L213" s="13" t="s">
        <v>342</v>
      </c>
      <c r="M213" s="12">
        <v>536</v>
      </c>
      <c r="N213" s="14">
        <v>0.6</v>
      </c>
      <c r="O213" s="12">
        <v>150</v>
      </c>
      <c r="P213" s="12">
        <v>220</v>
      </c>
      <c r="Q213" s="12">
        <v>4</v>
      </c>
      <c r="R213" s="13" t="s">
        <v>43</v>
      </c>
      <c r="S213" s="13"/>
      <c r="T213" s="15">
        <v>20000</v>
      </c>
      <c r="U213" s="13" t="s">
        <v>52</v>
      </c>
      <c r="V213" s="13" t="s">
        <v>89</v>
      </c>
      <c r="W213" s="12">
        <v>20</v>
      </c>
      <c r="X213" s="33" t="str">
        <f>HYPERLINK("https://www.alpinabook.ru/catalog/book-vegetatsiya","ссылка на книгу")</f>
        <v>ссылка на книгу</v>
      </c>
      <c r="Y213" s="34" t="str">
        <f>HYPERLINK("https://api-enni.alpina.ru/FilePrivilegesApproval/802","https://api-enni.alpina.ru/FilePrivilegesApproval/802")</f>
        <v>https://api-enni.alpina.ru/FilePrivilegesApproval/802</v>
      </c>
      <c r="Z213" s="13" t="s">
        <v>343</v>
      </c>
      <c r="AT213" s="1">
        <f t="shared" si="30"/>
        <v>0</v>
      </c>
      <c r="AU213" s="1">
        <f t="shared" si="31"/>
        <v>0</v>
      </c>
      <c r="AV213" s="1">
        <f t="shared" si="32"/>
        <v>0</v>
      </c>
      <c r="AW213" s="1">
        <f t="shared" si="33"/>
        <v>0</v>
      </c>
      <c r="AX213" s="1">
        <f t="shared" si="34"/>
        <v>0</v>
      </c>
    </row>
    <row r="214" spans="1:50" s="1" customFormat="1" ht="21.95" customHeight="1" outlineLevel="1" x14ac:dyDescent="0.2">
      <c r="A214" s="11"/>
      <c r="B214" s="12">
        <v>840</v>
      </c>
      <c r="C214" s="15">
        <v>1290</v>
      </c>
      <c r="D214" s="12">
        <v>11341</v>
      </c>
      <c r="E214" s="13" t="s">
        <v>263</v>
      </c>
      <c r="F214" s="13" t="s">
        <v>270</v>
      </c>
      <c r="G214" s="13" t="s">
        <v>56</v>
      </c>
      <c r="H214" s="13" t="s">
        <v>164</v>
      </c>
      <c r="I214" s="12">
        <v>2024</v>
      </c>
      <c r="J214" s="13" t="s">
        <v>271</v>
      </c>
      <c r="K214" s="12">
        <v>9785961421309</v>
      </c>
      <c r="L214" s="13" t="s">
        <v>272</v>
      </c>
      <c r="M214" s="12">
        <v>286</v>
      </c>
      <c r="N214" s="14">
        <v>0.51</v>
      </c>
      <c r="O214" s="12">
        <v>150</v>
      </c>
      <c r="P214" s="12">
        <v>220</v>
      </c>
      <c r="Q214" s="12">
        <v>20</v>
      </c>
      <c r="R214" s="13" t="s">
        <v>43</v>
      </c>
      <c r="S214" s="13" t="s">
        <v>267</v>
      </c>
      <c r="T214" s="15">
        <v>24000</v>
      </c>
      <c r="U214" s="13" t="s">
        <v>268</v>
      </c>
      <c r="V214" s="13" t="s">
        <v>269</v>
      </c>
      <c r="W214" s="12">
        <v>20</v>
      </c>
      <c r="X214" s="33" t="str">
        <f>HYPERLINK("https://www.alpinabook.ru/catalog/book-6-minut","ссылка на книгу")</f>
        <v>ссылка на книгу</v>
      </c>
      <c r="Y214" s="34" t="str">
        <f>HYPERLINK("","")</f>
        <v/>
      </c>
      <c r="Z214" s="13"/>
      <c r="AT214" s="1">
        <f t="shared" si="30"/>
        <v>0</v>
      </c>
      <c r="AU214" s="1">
        <f t="shared" si="31"/>
        <v>0</v>
      </c>
      <c r="AV214" s="1">
        <f t="shared" si="32"/>
        <v>0</v>
      </c>
      <c r="AW214" s="1">
        <f t="shared" si="33"/>
        <v>0</v>
      </c>
      <c r="AX214" s="1">
        <f t="shared" si="34"/>
        <v>0</v>
      </c>
    </row>
    <row r="215" spans="1:50" s="1" customFormat="1" ht="24.95" customHeight="1" outlineLevel="1" x14ac:dyDescent="0.2">
      <c r="A215" s="11"/>
      <c r="B215" s="12">
        <v>840</v>
      </c>
      <c r="C215" s="15">
        <v>1290</v>
      </c>
      <c r="D215" s="12">
        <v>28037</v>
      </c>
      <c r="E215" s="13" t="s">
        <v>843</v>
      </c>
      <c r="F215" s="13" t="s">
        <v>844</v>
      </c>
      <c r="G215" s="13" t="s">
        <v>56</v>
      </c>
      <c r="H215" s="13"/>
      <c r="I215" s="12">
        <v>2025</v>
      </c>
      <c r="J215" s="13" t="s">
        <v>845</v>
      </c>
      <c r="K215" s="12">
        <v>9785961487145</v>
      </c>
      <c r="L215" s="13" t="s">
        <v>846</v>
      </c>
      <c r="M215" s="12">
        <v>400</v>
      </c>
      <c r="N215" s="14">
        <v>0.56999999999999995</v>
      </c>
      <c r="O215" s="12">
        <v>140</v>
      </c>
      <c r="P215" s="12">
        <v>200</v>
      </c>
      <c r="Q215" s="12">
        <v>6</v>
      </c>
      <c r="R215" s="13" t="s">
        <v>43</v>
      </c>
      <c r="S215" s="13"/>
      <c r="T215" s="15">
        <v>15000</v>
      </c>
      <c r="U215" s="13" t="s">
        <v>44</v>
      </c>
      <c r="V215" s="13" t="s">
        <v>59</v>
      </c>
      <c r="W215" s="12">
        <v>10</v>
      </c>
      <c r="X215" s="33" t="str">
        <f>HYPERLINK("https://www.alpinabook.ru/catalog/book-pishi-sokrashchay-2025","ссылка на книгу")</f>
        <v>ссылка на книгу</v>
      </c>
      <c r="Y215" s="34" t="str">
        <f>HYPERLINK("https://api-enni.alpina.ru/FilePrivilegesApproval/339","https://api-enni.alpina.ru/FilePrivilegesApproval/339")</f>
        <v>https://api-enni.alpina.ru/FilePrivilegesApproval/339</v>
      </c>
      <c r="Z215" s="13" t="s">
        <v>847</v>
      </c>
      <c r="AT215" s="1">
        <f t="shared" si="30"/>
        <v>0</v>
      </c>
      <c r="AU215" s="1">
        <f t="shared" si="31"/>
        <v>0</v>
      </c>
      <c r="AV215" s="1">
        <f t="shared" si="32"/>
        <v>0</v>
      </c>
      <c r="AW215" s="1">
        <f t="shared" si="33"/>
        <v>0</v>
      </c>
      <c r="AX215" s="1">
        <f t="shared" si="34"/>
        <v>0</v>
      </c>
    </row>
    <row r="216" spans="1:50" s="1" customFormat="1" ht="24.95" customHeight="1" outlineLevel="1" x14ac:dyDescent="0.2">
      <c r="A216" s="11"/>
      <c r="B216" s="12">
        <v>290</v>
      </c>
      <c r="C216" s="12">
        <v>440</v>
      </c>
      <c r="D216" s="12">
        <v>11083</v>
      </c>
      <c r="E216" s="13" t="s">
        <v>719</v>
      </c>
      <c r="F216" s="13" t="s">
        <v>720</v>
      </c>
      <c r="G216" s="13" t="s">
        <v>56</v>
      </c>
      <c r="H216" s="13" t="s">
        <v>40</v>
      </c>
      <c r="I216" s="12">
        <v>2025</v>
      </c>
      <c r="J216" s="13" t="s">
        <v>721</v>
      </c>
      <c r="K216" s="12">
        <v>9785961411805</v>
      </c>
      <c r="L216" s="13" t="s">
        <v>722</v>
      </c>
      <c r="M216" s="12">
        <v>170</v>
      </c>
      <c r="N216" s="14">
        <v>0.12</v>
      </c>
      <c r="O216" s="12">
        <v>115</v>
      </c>
      <c r="P216" s="12">
        <v>165</v>
      </c>
      <c r="Q216" s="12">
        <v>16</v>
      </c>
      <c r="R216" s="13" t="s">
        <v>75</v>
      </c>
      <c r="S216" s="13" t="s">
        <v>253</v>
      </c>
      <c r="T216" s="15">
        <v>10000</v>
      </c>
      <c r="U216" s="13" t="s">
        <v>44</v>
      </c>
      <c r="V216" s="13" t="s">
        <v>64</v>
      </c>
      <c r="W216" s="12">
        <v>10</v>
      </c>
      <c r="X216" s="33" t="str">
        <f>HYPERLINK("https://www.alpinabook.ru/catalog/book-sila-obayaniya","ссылка на книгу")</f>
        <v>ссылка на книгу</v>
      </c>
      <c r="Y216" s="34" t="str">
        <f>HYPERLINK("https://api-enni.alpina.ru/FilePrivilegesApproval/2","https://api-enni.alpina.ru/FilePrivilegesApproval/2")</f>
        <v>https://api-enni.alpina.ru/FilePrivilegesApproval/2</v>
      </c>
      <c r="Z216" s="13" t="s">
        <v>118</v>
      </c>
      <c r="AT216" s="1">
        <f t="shared" si="30"/>
        <v>0</v>
      </c>
      <c r="AU216" s="1">
        <f t="shared" si="31"/>
        <v>0</v>
      </c>
      <c r="AV216" s="1">
        <f t="shared" si="32"/>
        <v>0</v>
      </c>
      <c r="AW216" s="1">
        <f t="shared" si="33"/>
        <v>0</v>
      </c>
      <c r="AX216" s="1">
        <f t="shared" si="34"/>
        <v>0</v>
      </c>
    </row>
    <row r="217" spans="1:50" s="1" customFormat="1" ht="24.95" customHeight="1" outlineLevel="1" x14ac:dyDescent="0.2">
      <c r="A217" s="11"/>
      <c r="B217" s="12">
        <v>290</v>
      </c>
      <c r="C217" s="12">
        <v>440</v>
      </c>
      <c r="D217" s="12">
        <v>11082</v>
      </c>
      <c r="E217" s="13" t="s">
        <v>472</v>
      </c>
      <c r="F217" s="13" t="s">
        <v>473</v>
      </c>
      <c r="G217" s="13" t="s">
        <v>56</v>
      </c>
      <c r="H217" s="13" t="s">
        <v>40</v>
      </c>
      <c r="I217" s="12">
        <v>2025</v>
      </c>
      <c r="J217" s="13" t="s">
        <v>474</v>
      </c>
      <c r="K217" s="12">
        <v>9785961411799</v>
      </c>
      <c r="L217" s="13" t="s">
        <v>475</v>
      </c>
      <c r="M217" s="12">
        <v>224</v>
      </c>
      <c r="N217" s="14">
        <v>0.15</v>
      </c>
      <c r="O217" s="12">
        <v>115</v>
      </c>
      <c r="P217" s="12">
        <v>165</v>
      </c>
      <c r="Q217" s="12">
        <v>14</v>
      </c>
      <c r="R217" s="13" t="s">
        <v>75</v>
      </c>
      <c r="S217" s="13" t="s">
        <v>253</v>
      </c>
      <c r="T217" s="15">
        <v>30000</v>
      </c>
      <c r="U217" s="13" t="s">
        <v>44</v>
      </c>
      <c r="V217" s="13" t="s">
        <v>64</v>
      </c>
      <c r="W217" s="12">
        <v>10</v>
      </c>
      <c r="X217" s="33" t="str">
        <f>HYPERLINK("https://www.alpinabook.ru/catalog/book-kak-razgovarivat-s-kem-ugodno-kogda-ugodno-i-gde-ugodno","ссылка на книгу")</f>
        <v>ссылка на книгу</v>
      </c>
      <c r="Y217" s="34" t="str">
        <f>HYPERLINK("https://api-enni.alpina.ru/FilePrivilegesApproval/152","https://api-enni.alpina.ru/FilePrivilegesApproval/152")</f>
        <v>https://api-enni.alpina.ru/FilePrivilegesApproval/152</v>
      </c>
      <c r="Z217" s="13" t="s">
        <v>405</v>
      </c>
      <c r="AT217" s="1">
        <f t="shared" si="30"/>
        <v>0</v>
      </c>
      <c r="AU217" s="1">
        <f t="shared" si="31"/>
        <v>0</v>
      </c>
      <c r="AV217" s="1">
        <f t="shared" si="32"/>
        <v>0</v>
      </c>
      <c r="AW217" s="1">
        <f t="shared" si="33"/>
        <v>0</v>
      </c>
      <c r="AX217" s="1">
        <f t="shared" si="34"/>
        <v>0</v>
      </c>
    </row>
    <row r="218" spans="1:50" s="1" customFormat="1" ht="24.95" customHeight="1" outlineLevel="1" x14ac:dyDescent="0.2">
      <c r="A218" s="11"/>
      <c r="B218" s="12">
        <v>990</v>
      </c>
      <c r="C218" s="15">
        <v>1490</v>
      </c>
      <c r="D218" s="12">
        <v>11572</v>
      </c>
      <c r="E218" s="13" t="s">
        <v>317</v>
      </c>
      <c r="F218" s="13" t="s">
        <v>371</v>
      </c>
      <c r="G218" s="13" t="s">
        <v>86</v>
      </c>
      <c r="H218" s="13" t="s">
        <v>40</v>
      </c>
      <c r="I218" s="12">
        <v>2025</v>
      </c>
      <c r="J218" s="13" t="s">
        <v>372</v>
      </c>
      <c r="K218" s="12">
        <v>9785002231584</v>
      </c>
      <c r="L218" s="13" t="s">
        <v>373</v>
      </c>
      <c r="M218" s="12">
        <v>536</v>
      </c>
      <c r="N218" s="14">
        <v>0.8</v>
      </c>
      <c r="O218" s="12">
        <v>170</v>
      </c>
      <c r="P218" s="12">
        <v>240</v>
      </c>
      <c r="Q218" s="12">
        <v>6</v>
      </c>
      <c r="R218" s="13" t="s">
        <v>94</v>
      </c>
      <c r="S218" s="13"/>
      <c r="T218" s="15">
        <v>10000</v>
      </c>
      <c r="U218" s="13" t="s">
        <v>52</v>
      </c>
      <c r="V218" s="13" t="s">
        <v>89</v>
      </c>
      <c r="W218" s="12">
        <v>10</v>
      </c>
      <c r="X218" s="33" t="str">
        <f>HYPERLINK("https://www.alpinabook.ru/catalog/book-vsye-resheno","ссылка на книгу")</f>
        <v>ссылка на книгу</v>
      </c>
      <c r="Y218" s="34" t="str">
        <f>HYPERLINK("https://api-enni.alpina.ru/FilePrivilegesApproval/813","https://api-enni.alpina.ru/FilePrivilegesApproval/813")</f>
        <v>https://api-enni.alpina.ru/FilePrivilegesApproval/813</v>
      </c>
      <c r="Z218" s="13" t="s">
        <v>374</v>
      </c>
      <c r="AT218" s="1">
        <f t="shared" si="30"/>
        <v>0</v>
      </c>
      <c r="AU218" s="1">
        <f t="shared" si="31"/>
        <v>0</v>
      </c>
      <c r="AV218" s="1">
        <f t="shared" si="32"/>
        <v>0</v>
      </c>
      <c r="AW218" s="1">
        <f t="shared" si="33"/>
        <v>0</v>
      </c>
      <c r="AX218" s="1">
        <f t="shared" si="34"/>
        <v>0</v>
      </c>
    </row>
    <row r="219" spans="1:50" s="1" customFormat="1" ht="24.95" customHeight="1" outlineLevel="1" x14ac:dyDescent="0.2">
      <c r="A219" s="11"/>
      <c r="B219" s="12">
        <v>290</v>
      </c>
      <c r="C219" s="12">
        <v>440</v>
      </c>
      <c r="D219" s="12">
        <v>12601</v>
      </c>
      <c r="E219" s="13" t="s">
        <v>811</v>
      </c>
      <c r="F219" s="13" t="s">
        <v>812</v>
      </c>
      <c r="G219" s="13" t="s">
        <v>56</v>
      </c>
      <c r="H219" s="13" t="s">
        <v>164</v>
      </c>
      <c r="I219" s="12">
        <v>2025</v>
      </c>
      <c r="J219" s="13" t="s">
        <v>813</v>
      </c>
      <c r="K219" s="12">
        <v>9785961425925</v>
      </c>
      <c r="L219" s="13" t="s">
        <v>814</v>
      </c>
      <c r="M219" s="12">
        <v>256</v>
      </c>
      <c r="N219" s="14">
        <v>0.17</v>
      </c>
      <c r="O219" s="12">
        <v>115</v>
      </c>
      <c r="P219" s="12">
        <v>165</v>
      </c>
      <c r="Q219" s="12">
        <v>12</v>
      </c>
      <c r="R219" s="13" t="s">
        <v>75</v>
      </c>
      <c r="S219" s="13" t="s">
        <v>815</v>
      </c>
      <c r="T219" s="15">
        <v>8000</v>
      </c>
      <c r="U219" s="13" t="s">
        <v>44</v>
      </c>
      <c r="V219" s="13" t="s">
        <v>45</v>
      </c>
      <c r="W219" s="12">
        <v>10</v>
      </c>
      <c r="X219" s="33" t="str">
        <f>HYPERLINK("https://www.alpinabook.ru/catalog/book-chernaya-ritorika","ссылка на книгу")</f>
        <v>ссылка на книгу</v>
      </c>
      <c r="Y219" s="34" t="str">
        <f>HYPERLINK("https://api-enni.alpina.ru/FilePrivilegesApproval/140","https://api-enni.alpina.ru/FilePrivilegesApproval/140")</f>
        <v>https://api-enni.alpina.ru/FilePrivilegesApproval/140</v>
      </c>
      <c r="Z219" s="13" t="s">
        <v>392</v>
      </c>
      <c r="AT219" s="1">
        <f t="shared" si="30"/>
        <v>0</v>
      </c>
      <c r="AU219" s="1">
        <f t="shared" si="31"/>
        <v>0</v>
      </c>
      <c r="AV219" s="1">
        <f t="shared" si="32"/>
        <v>0</v>
      </c>
      <c r="AW219" s="1">
        <f t="shared" si="33"/>
        <v>0</v>
      </c>
      <c r="AX219" s="1">
        <f t="shared" si="34"/>
        <v>0</v>
      </c>
    </row>
    <row r="220" spans="1:50" s="1" customFormat="1" ht="24.95" customHeight="1" outlineLevel="1" x14ac:dyDescent="0.2">
      <c r="A220" s="11"/>
      <c r="B220" s="15">
        <v>1250</v>
      </c>
      <c r="C220" s="15">
        <v>1490</v>
      </c>
      <c r="D220" s="12">
        <v>1350</v>
      </c>
      <c r="E220" s="13" t="s">
        <v>291</v>
      </c>
      <c r="F220" s="13" t="s">
        <v>292</v>
      </c>
      <c r="G220" s="13" t="s">
        <v>39</v>
      </c>
      <c r="H220" s="13" t="s">
        <v>40</v>
      </c>
      <c r="I220" s="12">
        <v>2025</v>
      </c>
      <c r="J220" s="13" t="s">
        <v>293</v>
      </c>
      <c r="K220" s="12">
        <v>9785961467420</v>
      </c>
      <c r="L220" s="13" t="s">
        <v>294</v>
      </c>
      <c r="M220" s="15">
        <v>1408</v>
      </c>
      <c r="N220" s="14">
        <v>1.68</v>
      </c>
      <c r="O220" s="12">
        <v>150</v>
      </c>
      <c r="P220" s="12">
        <v>220</v>
      </c>
      <c r="Q220" s="12">
        <v>2</v>
      </c>
      <c r="R220" s="13" t="s">
        <v>43</v>
      </c>
      <c r="S220" s="13"/>
      <c r="T220" s="15">
        <v>20000</v>
      </c>
      <c r="U220" s="13" t="s">
        <v>52</v>
      </c>
      <c r="V220" s="13" t="s">
        <v>45</v>
      </c>
      <c r="W220" s="12">
        <v>10</v>
      </c>
      <c r="X220" s="33" t="str">
        <f>HYPERLINK("https://www.alpinabook.ru/catalog/book-atlant-raspravil-plechi","ссылка на книгу")</f>
        <v>ссылка на книгу</v>
      </c>
      <c r="Y220" s="34" t="str">
        <f>HYPERLINK("https://api-enni.alpina.ru/FilePrivilegesApproval/156","https://api-enni.alpina.ru/FilePrivilegesApproval/156")</f>
        <v>https://api-enni.alpina.ru/FilePrivilegesApproval/156</v>
      </c>
      <c r="Z220" s="13" t="s">
        <v>295</v>
      </c>
      <c r="AT220" s="1">
        <f t="shared" si="30"/>
        <v>0</v>
      </c>
      <c r="AU220" s="1">
        <f t="shared" si="31"/>
        <v>0</v>
      </c>
      <c r="AV220" s="1">
        <f t="shared" si="32"/>
        <v>0</v>
      </c>
      <c r="AW220" s="1">
        <f t="shared" si="33"/>
        <v>0</v>
      </c>
      <c r="AX220" s="1">
        <f t="shared" si="34"/>
        <v>0</v>
      </c>
    </row>
    <row r="221" spans="1:50" s="1" customFormat="1" ht="24.95" customHeight="1" outlineLevel="1" x14ac:dyDescent="0.2">
      <c r="A221" s="11"/>
      <c r="B221" s="12">
        <v>690</v>
      </c>
      <c r="C221" s="12">
        <v>990</v>
      </c>
      <c r="D221" s="12">
        <v>31181</v>
      </c>
      <c r="E221" s="13" t="s">
        <v>273</v>
      </c>
      <c r="F221" s="13" t="s">
        <v>274</v>
      </c>
      <c r="G221" s="13" t="s">
        <v>56</v>
      </c>
      <c r="H221" s="13"/>
      <c r="I221" s="12">
        <v>2025</v>
      </c>
      <c r="J221" s="13" t="s">
        <v>275</v>
      </c>
      <c r="K221" s="12">
        <v>9785961497823</v>
      </c>
      <c r="L221" s="13" t="s">
        <v>276</v>
      </c>
      <c r="M221" s="12">
        <v>308</v>
      </c>
      <c r="N221" s="14">
        <v>0.4</v>
      </c>
      <c r="O221" s="12">
        <v>150</v>
      </c>
      <c r="P221" s="12">
        <v>210</v>
      </c>
      <c r="Q221" s="12">
        <v>16</v>
      </c>
      <c r="R221" s="13" t="s">
        <v>43</v>
      </c>
      <c r="S221" s="13"/>
      <c r="T221" s="15">
        <v>5000</v>
      </c>
      <c r="U221" s="13" t="s">
        <v>44</v>
      </c>
      <c r="V221" s="13" t="s">
        <v>59</v>
      </c>
      <c r="W221" s="12">
        <v>10</v>
      </c>
      <c r="X221" s="33" t="str">
        <f>HYPERLINK("https://www.alpinabook.ru/catalog/book-chatgpt-na-kazhdyy-den","ссылка на книгу")</f>
        <v>ссылка на книгу</v>
      </c>
      <c r="Y221" s="34" t="str">
        <f>HYPERLINK("https://api-enni.alpina.ru/FilePrivilegesApproval/571","https://api-enni.alpina.ru/FilePrivilegesApproval/571")</f>
        <v>https://api-enni.alpina.ru/FilePrivilegesApproval/571</v>
      </c>
      <c r="Z221" s="13" t="s">
        <v>277</v>
      </c>
      <c r="AT221" s="1">
        <f t="shared" si="30"/>
        <v>0</v>
      </c>
      <c r="AU221" s="1">
        <f t="shared" si="31"/>
        <v>0</v>
      </c>
      <c r="AV221" s="1">
        <f t="shared" si="32"/>
        <v>0</v>
      </c>
      <c r="AW221" s="1">
        <f t="shared" si="33"/>
        <v>0</v>
      </c>
      <c r="AX221" s="1">
        <f t="shared" si="34"/>
        <v>0</v>
      </c>
    </row>
    <row r="222" spans="1:50" s="1" customFormat="1" ht="21.95" customHeight="1" outlineLevel="1" x14ac:dyDescent="0.2">
      <c r="A222" s="11"/>
      <c r="B222" s="12">
        <v>840</v>
      </c>
      <c r="C222" s="15">
        <v>1290</v>
      </c>
      <c r="D222" s="12">
        <v>18111</v>
      </c>
      <c r="E222" s="13" t="s">
        <v>263</v>
      </c>
      <c r="F222" s="13" t="s">
        <v>264</v>
      </c>
      <c r="G222" s="13" t="s">
        <v>56</v>
      </c>
      <c r="H222" s="13" t="s">
        <v>164</v>
      </c>
      <c r="I222" s="12">
        <v>2024</v>
      </c>
      <c r="J222" s="13" t="s">
        <v>265</v>
      </c>
      <c r="K222" s="12">
        <v>9785961433265</v>
      </c>
      <c r="L222" s="13" t="s">
        <v>266</v>
      </c>
      <c r="M222" s="12">
        <v>286</v>
      </c>
      <c r="N222" s="14">
        <v>0.52</v>
      </c>
      <c r="O222" s="12">
        <v>150</v>
      </c>
      <c r="P222" s="12">
        <v>215</v>
      </c>
      <c r="Q222" s="12">
        <v>20</v>
      </c>
      <c r="R222" s="13" t="s">
        <v>43</v>
      </c>
      <c r="S222" s="13" t="s">
        <v>267</v>
      </c>
      <c r="T222" s="15">
        <v>24000</v>
      </c>
      <c r="U222" s="13" t="s">
        <v>268</v>
      </c>
      <c r="V222" s="13" t="s">
        <v>269</v>
      </c>
      <c r="W222" s="12">
        <v>20</v>
      </c>
      <c r="X222" s="33" t="str">
        <f>HYPERLINK("https://www.alpinabook.ru/catalog/book-6-minut","ссылка на книгу")</f>
        <v>ссылка на книгу</v>
      </c>
      <c r="Y222" s="34" t="str">
        <f>HYPERLINK("","")</f>
        <v/>
      </c>
      <c r="Z222" s="13"/>
      <c r="AT222" s="1">
        <f t="shared" si="30"/>
        <v>0</v>
      </c>
      <c r="AU222" s="1">
        <f t="shared" si="31"/>
        <v>0</v>
      </c>
      <c r="AV222" s="1">
        <f t="shared" si="32"/>
        <v>0</v>
      </c>
      <c r="AW222" s="1">
        <f t="shared" si="33"/>
        <v>0</v>
      </c>
      <c r="AX222" s="1">
        <f t="shared" si="34"/>
        <v>0</v>
      </c>
    </row>
    <row r="223" spans="1:50" s="1" customFormat="1" ht="24.95" customHeight="1" outlineLevel="1" x14ac:dyDescent="0.2">
      <c r="A223" s="11"/>
      <c r="B223" s="12">
        <v>640</v>
      </c>
      <c r="C223" s="12">
        <v>940</v>
      </c>
      <c r="D223" s="12">
        <v>1629</v>
      </c>
      <c r="E223" s="13" t="s">
        <v>401</v>
      </c>
      <c r="F223" s="13" t="s">
        <v>534</v>
      </c>
      <c r="G223" s="13" t="s">
        <v>56</v>
      </c>
      <c r="H223" s="13" t="s">
        <v>40</v>
      </c>
      <c r="I223" s="12">
        <v>2025</v>
      </c>
      <c r="J223" s="13" t="s">
        <v>535</v>
      </c>
      <c r="K223" s="12">
        <v>9785961467451</v>
      </c>
      <c r="L223" s="13" t="s">
        <v>536</v>
      </c>
      <c r="M223" s="12">
        <v>216</v>
      </c>
      <c r="N223" s="14">
        <v>0.36</v>
      </c>
      <c r="O223" s="12">
        <v>146</v>
      </c>
      <c r="P223" s="12">
        <v>216</v>
      </c>
      <c r="Q223" s="12">
        <v>18</v>
      </c>
      <c r="R223" s="13" t="s">
        <v>43</v>
      </c>
      <c r="S223" s="13"/>
      <c r="T223" s="15">
        <v>10000</v>
      </c>
      <c r="U223" s="13" t="s">
        <v>52</v>
      </c>
      <c r="V223" s="13" t="s">
        <v>64</v>
      </c>
      <c r="W223" s="12">
        <v>10</v>
      </c>
      <c r="X223" s="33" t="str">
        <f>HYPERLINK("https://www.alpinabook.ru/catalog/book-marketing-ot-a-do-ya","ссылка на книгу")</f>
        <v>ссылка на книгу</v>
      </c>
      <c r="Y223" s="34" t="str">
        <f>HYPERLINK("https://api-enni.alpina.ru/FilePrivilegesApproval/2","https://api-enni.alpina.ru/FilePrivilegesApproval/2")</f>
        <v>https://api-enni.alpina.ru/FilePrivilegesApproval/2</v>
      </c>
      <c r="Z223" s="13"/>
      <c r="AT223" s="1">
        <f t="shared" si="30"/>
        <v>0</v>
      </c>
      <c r="AU223" s="1">
        <f t="shared" si="31"/>
        <v>0</v>
      </c>
      <c r="AV223" s="1">
        <f t="shared" si="32"/>
        <v>0</v>
      </c>
      <c r="AW223" s="1">
        <f t="shared" si="33"/>
        <v>0</v>
      </c>
      <c r="AX223" s="1">
        <f t="shared" si="34"/>
        <v>0</v>
      </c>
    </row>
    <row r="224" spans="1:50" s="1" customFormat="1" ht="24.95" customHeight="1" outlineLevel="1" x14ac:dyDescent="0.2">
      <c r="A224" s="11"/>
      <c r="B224" s="12">
        <v>840</v>
      </c>
      <c r="C224" s="15">
        <v>1090</v>
      </c>
      <c r="D224" s="12">
        <v>25769</v>
      </c>
      <c r="E224" s="13" t="s">
        <v>287</v>
      </c>
      <c r="F224" s="13" t="s">
        <v>288</v>
      </c>
      <c r="G224" s="13" t="s">
        <v>97</v>
      </c>
      <c r="H224" s="13"/>
      <c r="I224" s="12">
        <v>2025</v>
      </c>
      <c r="J224" s="13" t="s">
        <v>289</v>
      </c>
      <c r="K224" s="12">
        <v>9785206000177</v>
      </c>
      <c r="L224" s="13" t="s">
        <v>290</v>
      </c>
      <c r="M224" s="12">
        <v>335</v>
      </c>
      <c r="N224" s="14">
        <v>0.5</v>
      </c>
      <c r="O224" s="12">
        <v>140</v>
      </c>
      <c r="P224" s="12">
        <v>200</v>
      </c>
      <c r="Q224" s="12">
        <v>8</v>
      </c>
      <c r="R224" s="13" t="s">
        <v>43</v>
      </c>
      <c r="S224" s="13"/>
      <c r="T224" s="15">
        <v>5000</v>
      </c>
      <c r="U224" s="13" t="s">
        <v>44</v>
      </c>
      <c r="V224" s="13" t="s">
        <v>59</v>
      </c>
      <c r="W224" s="12">
        <v>10</v>
      </c>
      <c r="X224" s="33" t="str">
        <f>HYPERLINK("https://www.alpinabook.ru/catalog/book-adekvatnost","ссылка на книгу")</f>
        <v>ссылка на книгу</v>
      </c>
      <c r="Y224" s="34" t="str">
        <f>HYPERLINK("https://api-enni.alpina.ru/FilePrivilegesApproval/167","https://api-enni.alpina.ru/FilePrivilegesApproval/167")</f>
        <v>https://api-enni.alpina.ru/FilePrivilegesApproval/167</v>
      </c>
      <c r="Z224" s="13" t="s">
        <v>65</v>
      </c>
      <c r="AT224" s="1">
        <f t="shared" si="30"/>
        <v>0</v>
      </c>
      <c r="AU224" s="1">
        <f t="shared" si="31"/>
        <v>0</v>
      </c>
      <c r="AV224" s="1">
        <f t="shared" si="32"/>
        <v>0</v>
      </c>
      <c r="AW224" s="1">
        <f t="shared" si="33"/>
        <v>0</v>
      </c>
      <c r="AX224" s="1">
        <f t="shared" si="34"/>
        <v>0</v>
      </c>
    </row>
    <row r="225" spans="1:50" s="1" customFormat="1" ht="24.95" customHeight="1" outlineLevel="1" x14ac:dyDescent="0.2">
      <c r="A225" s="11"/>
      <c r="B225" s="12">
        <v>730</v>
      </c>
      <c r="C225" s="15">
        <v>1090</v>
      </c>
      <c r="D225" s="12">
        <v>22334</v>
      </c>
      <c r="E225" s="13" t="s">
        <v>715</v>
      </c>
      <c r="F225" s="13" t="s">
        <v>716</v>
      </c>
      <c r="G225" s="13" t="s">
        <v>56</v>
      </c>
      <c r="H225" s="13" t="s">
        <v>40</v>
      </c>
      <c r="I225" s="12">
        <v>2025</v>
      </c>
      <c r="J225" s="13" t="s">
        <v>717</v>
      </c>
      <c r="K225" s="12">
        <v>9785961448092</v>
      </c>
      <c r="L225" s="13" t="s">
        <v>718</v>
      </c>
      <c r="M225" s="12">
        <v>488</v>
      </c>
      <c r="N225" s="14">
        <v>0.77</v>
      </c>
      <c r="O225" s="12">
        <v>170</v>
      </c>
      <c r="P225" s="12">
        <v>240</v>
      </c>
      <c r="Q225" s="12">
        <v>5</v>
      </c>
      <c r="R225" s="13" t="s">
        <v>94</v>
      </c>
      <c r="S225" s="13"/>
      <c r="T225" s="15">
        <v>10000</v>
      </c>
      <c r="U225" s="13" t="s">
        <v>44</v>
      </c>
      <c r="V225" s="13" t="s">
        <v>59</v>
      </c>
      <c r="W225" s="12">
        <v>10</v>
      </c>
      <c r="X225" s="33" t="str">
        <f>HYPERLINK("https://www.alpinabook.ru/catalog/book-7-navykov-yubileynoe-izdanie","ссылка на книгу")</f>
        <v>ссылка на книгу</v>
      </c>
      <c r="Y225" s="34" t="str">
        <f>HYPERLINK("https://api-enni.alpina.ru/FilePrivilegesApproval/177","https://api-enni.alpina.ru/FilePrivilegesApproval/177")</f>
        <v>https://api-enni.alpina.ru/FilePrivilegesApproval/177</v>
      </c>
      <c r="Z225" s="13" t="s">
        <v>142</v>
      </c>
      <c r="AT225" s="1">
        <f t="shared" si="30"/>
        <v>0</v>
      </c>
      <c r="AU225" s="1">
        <f t="shared" si="31"/>
        <v>0</v>
      </c>
      <c r="AV225" s="1">
        <f t="shared" si="32"/>
        <v>0</v>
      </c>
      <c r="AW225" s="1">
        <f t="shared" si="33"/>
        <v>0</v>
      </c>
      <c r="AX225" s="1">
        <f t="shared" si="34"/>
        <v>0</v>
      </c>
    </row>
    <row r="226" spans="1:50" s="1" customFormat="1" ht="24.95" customHeight="1" outlineLevel="1" x14ac:dyDescent="0.2">
      <c r="A226" s="11"/>
      <c r="B226" s="12">
        <v>990</v>
      </c>
      <c r="C226" s="15">
        <v>1490</v>
      </c>
      <c r="D226" s="12">
        <v>26127</v>
      </c>
      <c r="E226" s="13" t="s">
        <v>563</v>
      </c>
      <c r="F226" s="13" t="s">
        <v>564</v>
      </c>
      <c r="G226" s="13" t="s">
        <v>97</v>
      </c>
      <c r="H226" s="13"/>
      <c r="I226" s="12">
        <v>2024</v>
      </c>
      <c r="J226" s="13" t="s">
        <v>565</v>
      </c>
      <c r="K226" s="12">
        <v>9785206000603</v>
      </c>
      <c r="L226" s="13" t="s">
        <v>566</v>
      </c>
      <c r="M226" s="12">
        <v>384</v>
      </c>
      <c r="N226" s="14">
        <v>0.55000000000000004</v>
      </c>
      <c r="O226" s="12">
        <v>150</v>
      </c>
      <c r="P226" s="12">
        <v>220</v>
      </c>
      <c r="Q226" s="12">
        <v>5</v>
      </c>
      <c r="R226" s="13" t="s">
        <v>43</v>
      </c>
      <c r="S226" s="13"/>
      <c r="T226" s="15">
        <v>5000</v>
      </c>
      <c r="U226" s="13" t="s">
        <v>52</v>
      </c>
      <c r="V226" s="13" t="s">
        <v>59</v>
      </c>
      <c r="W226" s="12">
        <v>10</v>
      </c>
      <c r="X226" s="33" t="str">
        <f>HYPERLINK("https://www.alpinabook.ru/catalog/book-missiya-vypolnima","ссылка на книгу")</f>
        <v>ссылка на книгу</v>
      </c>
      <c r="Y226" s="34" t="str">
        <f>HYPERLINK("https://api-enni.alpina.ru/FilePrivilegesApproval/168","https://api-enni.alpina.ru/FilePrivilegesApproval/168")</f>
        <v>https://api-enni.alpina.ru/FilePrivilegesApproval/168</v>
      </c>
      <c r="Z226" s="13" t="s">
        <v>567</v>
      </c>
      <c r="AT226" s="1">
        <f t="shared" si="30"/>
        <v>0</v>
      </c>
      <c r="AU226" s="1">
        <f t="shared" si="31"/>
        <v>0</v>
      </c>
      <c r="AV226" s="1">
        <f t="shared" si="32"/>
        <v>0</v>
      </c>
      <c r="AW226" s="1">
        <f t="shared" si="33"/>
        <v>0</v>
      </c>
      <c r="AX226" s="1">
        <f t="shared" si="34"/>
        <v>0</v>
      </c>
    </row>
    <row r="227" spans="1:50" s="1" customFormat="1" ht="24.95" customHeight="1" outlineLevel="1" x14ac:dyDescent="0.2">
      <c r="A227" s="11"/>
      <c r="B227" s="12">
        <v>740</v>
      </c>
      <c r="C227" s="15">
        <v>1090</v>
      </c>
      <c r="D227" s="12">
        <v>29731</v>
      </c>
      <c r="E227" s="13" t="s">
        <v>748</v>
      </c>
      <c r="F227" s="13" t="s">
        <v>749</v>
      </c>
      <c r="G227" s="13" t="s">
        <v>86</v>
      </c>
      <c r="H227" s="13"/>
      <c r="I227" s="12">
        <v>2025</v>
      </c>
      <c r="J227" s="13" t="s">
        <v>750</v>
      </c>
      <c r="K227" s="12">
        <v>9785002231744</v>
      </c>
      <c r="L227" s="13" t="s">
        <v>751</v>
      </c>
      <c r="M227" s="12">
        <v>376</v>
      </c>
      <c r="N227" s="14">
        <v>0.55000000000000004</v>
      </c>
      <c r="O227" s="12">
        <v>160</v>
      </c>
      <c r="P227" s="12">
        <v>220</v>
      </c>
      <c r="Q227" s="12">
        <v>7</v>
      </c>
      <c r="R227" s="13" t="s">
        <v>100</v>
      </c>
      <c r="S227" s="13"/>
      <c r="T227" s="15">
        <v>10000</v>
      </c>
      <c r="U227" s="13" t="s">
        <v>44</v>
      </c>
      <c r="V227" s="13" t="s">
        <v>59</v>
      </c>
      <c r="W227" s="12">
        <v>10</v>
      </c>
      <c r="X227" s="33" t="str">
        <f>HYPERLINK("https://www.alpinabook.ru/catalog/book-sto-let-nedoskazannosti","ссылка на книгу")</f>
        <v>ссылка на книгу</v>
      </c>
      <c r="Y227" s="34" t="str">
        <f>HYPERLINK("https://api-enni.alpina.ru/FilePrivilegesApproval/714","https://api-enni.alpina.ru/FilePrivilegesApproval/714")</f>
        <v>https://api-enni.alpina.ru/FilePrivilegesApproval/714</v>
      </c>
      <c r="Z227" s="13" t="s">
        <v>277</v>
      </c>
      <c r="AT227" s="1">
        <f t="shared" si="30"/>
        <v>0</v>
      </c>
      <c r="AU227" s="1">
        <f t="shared" si="31"/>
        <v>0</v>
      </c>
      <c r="AV227" s="1">
        <f t="shared" si="32"/>
        <v>0</v>
      </c>
      <c r="AW227" s="1">
        <f t="shared" si="33"/>
        <v>0</v>
      </c>
      <c r="AX227" s="1">
        <f t="shared" si="34"/>
        <v>0</v>
      </c>
    </row>
    <row r="228" spans="1:50" s="1" customFormat="1" ht="24.95" customHeight="1" outlineLevel="1" x14ac:dyDescent="0.2">
      <c r="A228" s="11"/>
      <c r="B228" s="12">
        <v>790</v>
      </c>
      <c r="C228" s="12">
        <v>990</v>
      </c>
      <c r="D228" s="12">
        <v>28842</v>
      </c>
      <c r="E228" s="13" t="s">
        <v>618</v>
      </c>
      <c r="F228" s="13" t="s">
        <v>619</v>
      </c>
      <c r="G228" s="13" t="s">
        <v>56</v>
      </c>
      <c r="H228" s="13"/>
      <c r="I228" s="12">
        <v>2025</v>
      </c>
      <c r="J228" s="13" t="s">
        <v>620</v>
      </c>
      <c r="K228" s="12">
        <v>9785961490268</v>
      </c>
      <c r="L228" s="13" t="s">
        <v>621</v>
      </c>
      <c r="M228" s="12">
        <v>588</v>
      </c>
      <c r="N228" s="14">
        <v>0.93</v>
      </c>
      <c r="O228" s="12">
        <v>170</v>
      </c>
      <c r="P228" s="12">
        <v>240</v>
      </c>
      <c r="Q228" s="12">
        <v>6</v>
      </c>
      <c r="R228" s="13" t="s">
        <v>94</v>
      </c>
      <c r="S228" s="13"/>
      <c r="T228" s="15">
        <v>10000</v>
      </c>
      <c r="U228" s="13" t="s">
        <v>44</v>
      </c>
      <c r="V228" s="13" t="s">
        <v>45</v>
      </c>
      <c r="W228" s="12">
        <v>10</v>
      </c>
      <c r="X228" s="33" t="str">
        <f>HYPERLINK("https://www.alpinabook.ru/catalog/book-odin-na-odin-s-zhiznyu","ссылка на книгу")</f>
        <v>ссылка на книгу</v>
      </c>
      <c r="Y228" s="34" t="str">
        <f>HYPERLINK("https://api-enni.alpina.ru/FilePrivilegesApproval/336","https://api-enni.alpina.ru/FilePrivilegesApproval/336")</f>
        <v>https://api-enni.alpina.ru/FilePrivilegesApproval/336</v>
      </c>
      <c r="Z228" s="13" t="s">
        <v>343</v>
      </c>
      <c r="AT228" s="1">
        <f t="shared" si="30"/>
        <v>0</v>
      </c>
      <c r="AU228" s="1">
        <f t="shared" si="31"/>
        <v>0</v>
      </c>
      <c r="AV228" s="1">
        <f t="shared" si="32"/>
        <v>0</v>
      </c>
      <c r="AW228" s="1">
        <f t="shared" si="33"/>
        <v>0</v>
      </c>
      <c r="AX228" s="1">
        <f t="shared" si="34"/>
        <v>0</v>
      </c>
    </row>
    <row r="229" spans="1:50" s="1" customFormat="1" ht="24.95" customHeight="1" outlineLevel="1" x14ac:dyDescent="0.2">
      <c r="A229" s="11"/>
      <c r="B229" s="12">
        <v>840</v>
      </c>
      <c r="C229" s="15">
        <v>1290</v>
      </c>
      <c r="D229" s="12">
        <v>5626</v>
      </c>
      <c r="E229" s="13" t="s">
        <v>760</v>
      </c>
      <c r="F229" s="13" t="s">
        <v>761</v>
      </c>
      <c r="G229" s="13" t="s">
        <v>56</v>
      </c>
      <c r="H229" s="13" t="s">
        <v>40</v>
      </c>
      <c r="I229" s="12">
        <v>2024</v>
      </c>
      <c r="J229" s="13" t="s">
        <v>762</v>
      </c>
      <c r="K229" s="12">
        <v>9785961418194</v>
      </c>
      <c r="L229" s="13" t="s">
        <v>763</v>
      </c>
      <c r="M229" s="12">
        <v>550</v>
      </c>
      <c r="N229" s="14">
        <v>0.56000000000000005</v>
      </c>
      <c r="O229" s="12">
        <v>140</v>
      </c>
      <c r="P229" s="12">
        <v>210</v>
      </c>
      <c r="Q229" s="12">
        <v>8</v>
      </c>
      <c r="R229" s="13" t="s">
        <v>43</v>
      </c>
      <c r="S229" s="13"/>
      <c r="T229" s="15">
        <v>12000</v>
      </c>
      <c r="U229" s="13" t="s">
        <v>44</v>
      </c>
      <c r="V229" s="13" t="s">
        <v>45</v>
      </c>
      <c r="W229" s="12">
        <v>10</v>
      </c>
      <c r="X229" s="33" t="str">
        <f>HYPERLINK("https://www.alpinabook.ru/catalog/book-terapiya-nastroeniya","ссылка на книгу")</f>
        <v>ссылка на книгу</v>
      </c>
      <c r="Y229" s="34" t="str">
        <f>HYPERLINK("https://api-enni.alpina.ru/FilePrivilegesApproval/132","https://api-enni.alpina.ru/FilePrivilegesApproval/132")</f>
        <v>https://api-enni.alpina.ru/FilePrivilegesApproval/132</v>
      </c>
      <c r="Z229" s="13"/>
      <c r="AT229" s="1">
        <f t="shared" si="30"/>
        <v>0</v>
      </c>
      <c r="AU229" s="1">
        <f t="shared" si="31"/>
        <v>0</v>
      </c>
      <c r="AV229" s="1">
        <f t="shared" si="32"/>
        <v>0</v>
      </c>
      <c r="AW229" s="1">
        <f t="shared" si="33"/>
        <v>0</v>
      </c>
      <c r="AX229" s="1">
        <f t="shared" si="34"/>
        <v>0</v>
      </c>
    </row>
    <row r="230" spans="1:50" s="1" customFormat="1" ht="24.95" customHeight="1" outlineLevel="1" x14ac:dyDescent="0.2">
      <c r="A230" s="11"/>
      <c r="B230" s="12">
        <v>490</v>
      </c>
      <c r="C230" s="12">
        <v>690</v>
      </c>
      <c r="D230" s="12">
        <v>11675</v>
      </c>
      <c r="E230" s="13" t="s">
        <v>771</v>
      </c>
      <c r="F230" s="13" t="s">
        <v>776</v>
      </c>
      <c r="G230" s="13" t="s">
        <v>56</v>
      </c>
      <c r="H230" s="13" t="s">
        <v>40</v>
      </c>
      <c r="I230" s="12">
        <v>2024</v>
      </c>
      <c r="J230" s="13" t="s">
        <v>777</v>
      </c>
      <c r="K230" s="12">
        <v>9785961424584</v>
      </c>
      <c r="L230" s="13" t="s">
        <v>778</v>
      </c>
      <c r="M230" s="12">
        <v>192</v>
      </c>
      <c r="N230" s="14">
        <v>0.28000000000000003</v>
      </c>
      <c r="O230" s="12">
        <v>141</v>
      </c>
      <c r="P230" s="12">
        <v>210</v>
      </c>
      <c r="Q230" s="12">
        <v>20</v>
      </c>
      <c r="R230" s="13" t="s">
        <v>43</v>
      </c>
      <c r="S230" s="13" t="s">
        <v>779</v>
      </c>
      <c r="T230" s="15">
        <v>20000</v>
      </c>
      <c r="U230" s="13" t="s">
        <v>44</v>
      </c>
      <c r="V230" s="13" t="s">
        <v>269</v>
      </c>
      <c r="W230" s="12">
        <v>10</v>
      </c>
      <c r="X230" s="33" t="str">
        <f>HYPERLINK("https://www.alpinabook.ru/catalog/book-trenazher-pamyati","ссылка на книгу")</f>
        <v>ссылка на книгу</v>
      </c>
      <c r="Y230" s="34" t="str">
        <f>HYPERLINK("https://api-enni.alpina.ru/FilePrivilegesApproval/158","https://api-enni.alpina.ru/FilePrivilegesApproval/158")</f>
        <v>https://api-enni.alpina.ru/FilePrivilegesApproval/158</v>
      </c>
      <c r="Z230" s="13"/>
      <c r="AT230" s="1">
        <f t="shared" si="30"/>
        <v>0</v>
      </c>
      <c r="AU230" s="1">
        <f t="shared" si="31"/>
        <v>0</v>
      </c>
      <c r="AV230" s="1">
        <f t="shared" si="32"/>
        <v>0</v>
      </c>
      <c r="AW230" s="1">
        <f t="shared" si="33"/>
        <v>0</v>
      </c>
      <c r="AX230" s="1">
        <f t="shared" si="34"/>
        <v>0</v>
      </c>
    </row>
    <row r="231" spans="1:50" s="1" customFormat="1" ht="24.95" customHeight="1" outlineLevel="1" x14ac:dyDescent="0.2">
      <c r="A231" s="11"/>
      <c r="B231" s="12">
        <v>540</v>
      </c>
      <c r="C231" s="12">
        <v>790</v>
      </c>
      <c r="D231" s="12">
        <v>28270</v>
      </c>
      <c r="E231" s="13" t="s">
        <v>330</v>
      </c>
      <c r="F231" s="13" t="s">
        <v>331</v>
      </c>
      <c r="G231" s="13" t="s">
        <v>56</v>
      </c>
      <c r="H231" s="13" t="s">
        <v>40</v>
      </c>
      <c r="I231" s="12">
        <v>2025</v>
      </c>
      <c r="J231" s="13" t="s">
        <v>332</v>
      </c>
      <c r="K231" s="12">
        <v>9785961487633</v>
      </c>
      <c r="L231" s="13" t="s">
        <v>333</v>
      </c>
      <c r="M231" s="12">
        <v>232</v>
      </c>
      <c r="N231" s="14">
        <v>0.53</v>
      </c>
      <c r="O231" s="12">
        <v>150</v>
      </c>
      <c r="P231" s="12">
        <v>220</v>
      </c>
      <c r="Q231" s="12">
        <v>12</v>
      </c>
      <c r="R231" s="13" t="s">
        <v>43</v>
      </c>
      <c r="S231" s="13"/>
      <c r="T231" s="15">
        <v>7000</v>
      </c>
      <c r="U231" s="13" t="s">
        <v>52</v>
      </c>
      <c r="V231" s="13" t="s">
        <v>45</v>
      </c>
      <c r="W231" s="12">
        <v>10</v>
      </c>
      <c r="X231" s="33" t="str">
        <f>HYPERLINK("https://www.alpinabook.ru/catalog/book-bud-nuzhnym","ссылка на книгу")</f>
        <v>ссылка на книгу</v>
      </c>
      <c r="Y231" s="34" t="str">
        <f>HYPERLINK("https://api-enni.alpina.ru/FilePrivilegesApproval/315","https://api-enni.alpina.ru/FilePrivilegesApproval/315")</f>
        <v>https://api-enni.alpina.ru/FilePrivilegesApproval/315</v>
      </c>
      <c r="Z231" s="13" t="s">
        <v>334</v>
      </c>
      <c r="AT231" s="1">
        <f t="shared" si="30"/>
        <v>0</v>
      </c>
      <c r="AU231" s="1">
        <f t="shared" si="31"/>
        <v>0</v>
      </c>
      <c r="AV231" s="1">
        <f t="shared" si="32"/>
        <v>0</v>
      </c>
      <c r="AW231" s="1">
        <f t="shared" si="33"/>
        <v>0</v>
      </c>
      <c r="AX231" s="1">
        <f t="shared" si="34"/>
        <v>0</v>
      </c>
    </row>
    <row r="232" spans="1:50" s="1" customFormat="1" ht="24.95" customHeight="1" outlineLevel="1" x14ac:dyDescent="0.2">
      <c r="A232" s="11"/>
      <c r="B232" s="15">
        <v>1390</v>
      </c>
      <c r="C232" s="15">
        <v>1790</v>
      </c>
      <c r="D232" s="12">
        <v>2960</v>
      </c>
      <c r="E232" s="13" t="s">
        <v>691</v>
      </c>
      <c r="F232" s="13" t="s">
        <v>692</v>
      </c>
      <c r="G232" s="13" t="s">
        <v>56</v>
      </c>
      <c r="H232" s="13" t="s">
        <v>40</v>
      </c>
      <c r="I232" s="12">
        <v>2024</v>
      </c>
      <c r="J232" s="13" t="s">
        <v>693</v>
      </c>
      <c r="K232" s="12">
        <v>9785961465440</v>
      </c>
      <c r="L232" s="13" t="s">
        <v>694</v>
      </c>
      <c r="M232" s="12">
        <v>576</v>
      </c>
      <c r="N232" s="14">
        <v>0.86</v>
      </c>
      <c r="O232" s="12">
        <v>170</v>
      </c>
      <c r="P232" s="12">
        <v>240</v>
      </c>
      <c r="Q232" s="12">
        <v>5</v>
      </c>
      <c r="R232" s="13" t="s">
        <v>94</v>
      </c>
      <c r="S232" s="13"/>
      <c r="T232" s="15">
        <v>5000</v>
      </c>
      <c r="U232" s="13" t="s">
        <v>52</v>
      </c>
      <c r="V232" s="13" t="s">
        <v>64</v>
      </c>
      <c r="W232" s="12">
        <v>10</v>
      </c>
      <c r="X232" s="33" t="str">
        <f>HYPERLINK("https://www.alpinabook.ru/catalog/book-razumnyy-investor","ссылка на книгу")</f>
        <v>ссылка на книгу</v>
      </c>
      <c r="Y232" s="34" t="str">
        <f>HYPERLINK("https://api-enni.alpina.ru/FilePrivilegesApproval/2","https://api-enni.alpina.ru/FilePrivilegesApproval/2")</f>
        <v>https://api-enni.alpina.ru/FilePrivilegesApproval/2</v>
      </c>
      <c r="Z232" s="13"/>
      <c r="AT232" s="1">
        <f t="shared" si="30"/>
        <v>0</v>
      </c>
      <c r="AU232" s="1">
        <f t="shared" si="31"/>
        <v>0</v>
      </c>
      <c r="AV232" s="1">
        <f t="shared" si="32"/>
        <v>0</v>
      </c>
      <c r="AW232" s="1">
        <f t="shared" si="33"/>
        <v>0</v>
      </c>
      <c r="AX232" s="1">
        <f t="shared" si="34"/>
        <v>0</v>
      </c>
    </row>
    <row r="233" spans="1:50" s="1" customFormat="1" ht="24.95" customHeight="1" outlineLevel="1" x14ac:dyDescent="0.2">
      <c r="A233" s="11"/>
      <c r="B233" s="12">
        <v>890</v>
      </c>
      <c r="C233" s="15">
        <v>1290</v>
      </c>
      <c r="D233" s="12">
        <v>18519</v>
      </c>
      <c r="E233" s="13" t="s">
        <v>838</v>
      </c>
      <c r="F233" s="13" t="s">
        <v>839</v>
      </c>
      <c r="G233" s="13" t="s">
        <v>56</v>
      </c>
      <c r="H233" s="13"/>
      <c r="I233" s="12">
        <v>2025</v>
      </c>
      <c r="J233" s="13" t="s">
        <v>840</v>
      </c>
      <c r="K233" s="12">
        <v>9785961435825</v>
      </c>
      <c r="L233" s="13" t="s">
        <v>841</v>
      </c>
      <c r="M233" s="12">
        <v>448</v>
      </c>
      <c r="N233" s="14">
        <v>0.63</v>
      </c>
      <c r="O233" s="12">
        <v>140</v>
      </c>
      <c r="P233" s="12">
        <v>200</v>
      </c>
      <c r="Q233" s="12">
        <v>6</v>
      </c>
      <c r="R233" s="13" t="s">
        <v>43</v>
      </c>
      <c r="S233" s="13"/>
      <c r="T233" s="15">
        <v>10000</v>
      </c>
      <c r="U233" s="13" t="s">
        <v>44</v>
      </c>
      <c r="V233" s="13" t="s">
        <v>59</v>
      </c>
      <c r="W233" s="12">
        <v>10</v>
      </c>
      <c r="X233" s="33" t="str">
        <f>HYPERLINK("https://www.alpinabook.ru/catalog/book-yasno-ponyatno","ссылка на книгу")</f>
        <v>ссылка на книгу</v>
      </c>
      <c r="Y233" s="34" t="str">
        <f>HYPERLINK("https://api-enni.alpina.ru/FilePrivilegesApproval/109","https://api-enni.alpina.ru/FilePrivilegesApproval/109")</f>
        <v>https://api-enni.alpina.ru/FilePrivilegesApproval/109</v>
      </c>
      <c r="Z233" s="13" t="s">
        <v>545</v>
      </c>
      <c r="AT233" s="1">
        <f t="shared" si="30"/>
        <v>0</v>
      </c>
      <c r="AU233" s="1">
        <f t="shared" si="31"/>
        <v>0</v>
      </c>
      <c r="AV233" s="1">
        <f t="shared" si="32"/>
        <v>0</v>
      </c>
      <c r="AW233" s="1">
        <f t="shared" si="33"/>
        <v>0</v>
      </c>
      <c r="AX233" s="1">
        <f t="shared" si="34"/>
        <v>0</v>
      </c>
    </row>
    <row r="234" spans="1:50" s="1" customFormat="1" ht="24.95" customHeight="1" outlineLevel="1" x14ac:dyDescent="0.2">
      <c r="A234" s="11"/>
      <c r="B234" s="12">
        <v>490</v>
      </c>
      <c r="C234" s="12">
        <v>690</v>
      </c>
      <c r="D234" s="12">
        <v>17599</v>
      </c>
      <c r="E234" s="13" t="s">
        <v>771</v>
      </c>
      <c r="F234" s="13" t="s">
        <v>772</v>
      </c>
      <c r="G234" s="13" t="s">
        <v>56</v>
      </c>
      <c r="H234" s="13" t="s">
        <v>40</v>
      </c>
      <c r="I234" s="12">
        <v>2025</v>
      </c>
      <c r="J234" s="13" t="s">
        <v>773</v>
      </c>
      <c r="K234" s="12">
        <v>9785961435122</v>
      </c>
      <c r="L234" s="13" t="s">
        <v>774</v>
      </c>
      <c r="M234" s="12">
        <v>192</v>
      </c>
      <c r="N234" s="14">
        <v>0.25</v>
      </c>
      <c r="O234" s="12">
        <v>141</v>
      </c>
      <c r="P234" s="12">
        <v>210</v>
      </c>
      <c r="Q234" s="12">
        <v>20</v>
      </c>
      <c r="R234" s="13" t="s">
        <v>43</v>
      </c>
      <c r="S234" s="13"/>
      <c r="T234" s="15">
        <v>10000</v>
      </c>
      <c r="U234" s="13" t="s">
        <v>44</v>
      </c>
      <c r="V234" s="13" t="s">
        <v>269</v>
      </c>
      <c r="W234" s="12">
        <v>10</v>
      </c>
      <c r="X234" s="33" t="str">
        <f>HYPERLINK("https://www.alpinabook.ru/catalog/book-trenazher-mozga","ссылка на книгу")</f>
        <v>ссылка на книгу</v>
      </c>
      <c r="Y234" s="34" t="str">
        <f>HYPERLINK("https://api-enni.alpina.ru/FilePrivilegesApproval/141","https://api-enni.alpina.ru/FilePrivilegesApproval/141")</f>
        <v>https://api-enni.alpina.ru/FilePrivilegesApproval/141</v>
      </c>
      <c r="Z234" s="13" t="s">
        <v>775</v>
      </c>
      <c r="AT234" s="1">
        <f t="shared" si="30"/>
        <v>0</v>
      </c>
      <c r="AU234" s="1">
        <f t="shared" si="31"/>
        <v>0</v>
      </c>
      <c r="AV234" s="1">
        <f t="shared" si="32"/>
        <v>0</v>
      </c>
      <c r="AW234" s="1">
        <f t="shared" si="33"/>
        <v>0</v>
      </c>
      <c r="AX234" s="1">
        <f t="shared" si="34"/>
        <v>0</v>
      </c>
    </row>
    <row r="235" spans="1:50" s="1" customFormat="1" ht="24.95" customHeight="1" outlineLevel="1" x14ac:dyDescent="0.2">
      <c r="A235" s="11"/>
      <c r="B235" s="12">
        <v>590</v>
      </c>
      <c r="C235" s="12">
        <v>840</v>
      </c>
      <c r="D235" s="12">
        <v>23434</v>
      </c>
      <c r="E235" s="13" t="s">
        <v>649</v>
      </c>
      <c r="F235" s="13" t="s">
        <v>650</v>
      </c>
      <c r="G235" s="13" t="s">
        <v>56</v>
      </c>
      <c r="H235" s="13"/>
      <c r="I235" s="12">
        <v>2025</v>
      </c>
      <c r="J235" s="13" t="s">
        <v>651</v>
      </c>
      <c r="K235" s="12">
        <v>9785961472554</v>
      </c>
      <c r="L235" s="13" t="s">
        <v>652</v>
      </c>
      <c r="M235" s="12">
        <v>221</v>
      </c>
      <c r="N235" s="14">
        <v>0.28999999999999998</v>
      </c>
      <c r="O235" s="12">
        <v>140</v>
      </c>
      <c r="P235" s="12">
        <v>210</v>
      </c>
      <c r="Q235" s="12">
        <v>20</v>
      </c>
      <c r="R235" s="13" t="s">
        <v>43</v>
      </c>
      <c r="S235" s="13"/>
      <c r="T235" s="15">
        <v>5000</v>
      </c>
      <c r="U235" s="13" t="s">
        <v>44</v>
      </c>
      <c r="V235" s="13" t="s">
        <v>59</v>
      </c>
      <c r="W235" s="12">
        <v>10</v>
      </c>
      <c r="X235" s="33" t="str">
        <f>HYPERLINK("https://www.alpinabook.ru/catalog/book-poka-mne-ne-ispolnilos-30","ссылка на книгу")</f>
        <v>ссылка на книгу</v>
      </c>
      <c r="Y235" s="34" t="str">
        <f>HYPERLINK("https://api-enni.alpina.ru/FilePrivilegesApproval/128","https://api-enni.alpina.ru/FilePrivilegesApproval/128")</f>
        <v>https://api-enni.alpina.ru/FilePrivilegesApproval/128</v>
      </c>
      <c r="Z235" s="13" t="s">
        <v>374</v>
      </c>
      <c r="AT235" s="1">
        <f t="shared" si="30"/>
        <v>0</v>
      </c>
      <c r="AU235" s="1">
        <f t="shared" si="31"/>
        <v>0</v>
      </c>
      <c r="AV235" s="1">
        <f t="shared" si="32"/>
        <v>0</v>
      </c>
      <c r="AW235" s="1">
        <f t="shared" si="33"/>
        <v>0</v>
      </c>
      <c r="AX235" s="1">
        <f t="shared" si="34"/>
        <v>0</v>
      </c>
    </row>
    <row r="236" spans="1:50" s="1" customFormat="1" ht="24.95" customHeight="1" outlineLevel="1" x14ac:dyDescent="0.2">
      <c r="A236" s="11"/>
      <c r="B236" s="15">
        <v>1290</v>
      </c>
      <c r="C236" s="15">
        <v>1790</v>
      </c>
      <c r="D236" s="12">
        <v>7091</v>
      </c>
      <c r="E236" s="13" t="s">
        <v>317</v>
      </c>
      <c r="F236" s="13" t="s">
        <v>318</v>
      </c>
      <c r="G236" s="13" t="s">
        <v>86</v>
      </c>
      <c r="H236" s="13" t="s">
        <v>40</v>
      </c>
      <c r="I236" s="12">
        <v>2025</v>
      </c>
      <c r="J236" s="13" t="s">
        <v>319</v>
      </c>
      <c r="K236" s="12">
        <v>9785001390398</v>
      </c>
      <c r="L236" s="13" t="s">
        <v>320</v>
      </c>
      <c r="M236" s="12">
        <v>766</v>
      </c>
      <c r="N236" s="14">
        <v>1.1000000000000001</v>
      </c>
      <c r="O236" s="12">
        <v>176</v>
      </c>
      <c r="P236" s="12">
        <v>243</v>
      </c>
      <c r="Q236" s="12">
        <v>4</v>
      </c>
      <c r="R236" s="13" t="s">
        <v>94</v>
      </c>
      <c r="S236" s="13"/>
      <c r="T236" s="15">
        <v>10000</v>
      </c>
      <c r="U236" s="13" t="s">
        <v>52</v>
      </c>
      <c r="V236" s="13" t="s">
        <v>45</v>
      </c>
      <c r="W236" s="12">
        <v>10</v>
      </c>
      <c r="X236" s="33" t="str">
        <f>HYPERLINK("https://www.alpinabook.ru/catalog/book-biologiya-dobra-i-zla","ссылка на книгу")</f>
        <v>ссылка на книгу</v>
      </c>
      <c r="Y236" s="34" t="str">
        <f>HYPERLINK("https://api-enni.alpina.ru/FilePrivilegesApproval/131","https://api-enni.alpina.ru/FilePrivilegesApproval/131")</f>
        <v>https://api-enni.alpina.ru/FilePrivilegesApproval/131</v>
      </c>
      <c r="Z236" s="13" t="s">
        <v>321</v>
      </c>
      <c r="AT236" s="1">
        <f t="shared" si="30"/>
        <v>0</v>
      </c>
      <c r="AU236" s="1">
        <f t="shared" si="31"/>
        <v>0</v>
      </c>
      <c r="AV236" s="1">
        <f t="shared" si="32"/>
        <v>0</v>
      </c>
      <c r="AW236" s="1">
        <f t="shared" si="33"/>
        <v>0</v>
      </c>
      <c r="AX236" s="1">
        <f t="shared" si="34"/>
        <v>0</v>
      </c>
    </row>
    <row r="237" spans="1:50" s="1" customFormat="1" ht="24.95" customHeight="1" outlineLevel="1" x14ac:dyDescent="0.2">
      <c r="A237" s="11"/>
      <c r="B237" s="12">
        <v>290</v>
      </c>
      <c r="C237" s="12">
        <v>440</v>
      </c>
      <c r="D237" s="12">
        <v>27597</v>
      </c>
      <c r="E237" s="13" t="s">
        <v>848</v>
      </c>
      <c r="F237" s="13" t="s">
        <v>849</v>
      </c>
      <c r="G237" s="13" t="s">
        <v>56</v>
      </c>
      <c r="H237" s="13" t="s">
        <v>850</v>
      </c>
      <c r="I237" s="12">
        <v>2025</v>
      </c>
      <c r="J237" s="13" t="s">
        <v>851</v>
      </c>
      <c r="K237" s="12">
        <v>9785961485813</v>
      </c>
      <c r="L237" s="13" t="s">
        <v>852</v>
      </c>
      <c r="M237" s="12">
        <v>316</v>
      </c>
      <c r="N237" s="14">
        <v>0.21</v>
      </c>
      <c r="O237" s="12">
        <v>120</v>
      </c>
      <c r="P237" s="12">
        <v>170</v>
      </c>
      <c r="Q237" s="12">
        <v>10</v>
      </c>
      <c r="R237" s="13" t="s">
        <v>75</v>
      </c>
      <c r="S237" s="13" t="s">
        <v>596</v>
      </c>
      <c r="T237" s="15">
        <v>8000</v>
      </c>
      <c r="U237" s="13" t="s">
        <v>44</v>
      </c>
      <c r="V237" s="13" t="s">
        <v>64</v>
      </c>
      <c r="W237" s="12">
        <v>10</v>
      </c>
      <c r="X237" s="33" t="str">
        <f>HYPERLINK("https://www.alpinabook.ru/catalog/book-muzyka-i-mozg","ссылка на книгу")</f>
        <v>ссылка на книгу</v>
      </c>
      <c r="Y237" s="34" t="str">
        <f>HYPERLINK("https://api-enni.alpina.ru/FilePrivilegesApproval/205","https://api-enni.alpina.ru/FilePrivilegesApproval/205")</f>
        <v>https://api-enni.alpina.ru/FilePrivilegesApproval/205</v>
      </c>
      <c r="Z237" s="13" t="s">
        <v>431</v>
      </c>
      <c r="AT237" s="1">
        <f t="shared" si="30"/>
        <v>0</v>
      </c>
      <c r="AU237" s="1">
        <f t="shared" si="31"/>
        <v>0</v>
      </c>
      <c r="AV237" s="1">
        <f t="shared" si="32"/>
        <v>0</v>
      </c>
      <c r="AW237" s="1">
        <f t="shared" si="33"/>
        <v>0</v>
      </c>
      <c r="AX237" s="1">
        <f t="shared" si="34"/>
        <v>0</v>
      </c>
    </row>
    <row r="238" spans="1:50" s="1" customFormat="1" ht="24.95" customHeight="1" outlineLevel="1" x14ac:dyDescent="0.2">
      <c r="A238" s="11"/>
      <c r="B238" s="12">
        <v>290</v>
      </c>
      <c r="C238" s="12">
        <v>440</v>
      </c>
      <c r="D238" s="12">
        <v>8617</v>
      </c>
      <c r="E238" s="13" t="s">
        <v>802</v>
      </c>
      <c r="F238" s="13" t="s">
        <v>803</v>
      </c>
      <c r="G238" s="13" t="s">
        <v>56</v>
      </c>
      <c r="H238" s="13" t="s">
        <v>164</v>
      </c>
      <c r="I238" s="12">
        <v>2025</v>
      </c>
      <c r="J238" s="13" t="s">
        <v>804</v>
      </c>
      <c r="K238" s="12">
        <v>9785961468922</v>
      </c>
      <c r="L238" s="13" t="s">
        <v>805</v>
      </c>
      <c r="M238" s="12">
        <v>288</v>
      </c>
      <c r="N238" s="14">
        <v>0.19</v>
      </c>
      <c r="O238" s="12">
        <v>115</v>
      </c>
      <c r="P238" s="12">
        <v>165</v>
      </c>
      <c r="Q238" s="12">
        <v>10</v>
      </c>
      <c r="R238" s="13" t="s">
        <v>75</v>
      </c>
      <c r="S238" s="13" t="s">
        <v>76</v>
      </c>
      <c r="T238" s="15">
        <v>15000</v>
      </c>
      <c r="U238" s="13" t="s">
        <v>44</v>
      </c>
      <c r="V238" s="13" t="s">
        <v>64</v>
      </c>
      <c r="W238" s="12">
        <v>10</v>
      </c>
      <c r="X238" s="33" t="str">
        <f>HYPERLINK("https://www.alpinabook.ru/catalog/book-khoroshie-devochki","ссылка на книгу")</f>
        <v>ссылка на книгу</v>
      </c>
      <c r="Y238" s="34" t="str">
        <f>HYPERLINK("https://api-enni.alpina.ru/FilePrivilegesApproval/153","https://api-enni.alpina.ru/FilePrivilegesApproval/153")</f>
        <v>https://api-enni.alpina.ru/FilePrivilegesApproval/153</v>
      </c>
      <c r="Z238" s="13"/>
      <c r="AT238" s="1">
        <f t="shared" si="30"/>
        <v>0</v>
      </c>
      <c r="AU238" s="1">
        <f t="shared" si="31"/>
        <v>0</v>
      </c>
      <c r="AV238" s="1">
        <f t="shared" si="32"/>
        <v>0</v>
      </c>
      <c r="AW238" s="1">
        <f t="shared" si="33"/>
        <v>0</v>
      </c>
      <c r="AX238" s="1">
        <f t="shared" si="34"/>
        <v>0</v>
      </c>
    </row>
    <row r="239" spans="1:50" s="1" customFormat="1" ht="24.95" customHeight="1" outlineLevel="1" x14ac:dyDescent="0.2">
      <c r="A239" s="11"/>
      <c r="B239" s="12">
        <v>690</v>
      </c>
      <c r="C239" s="12">
        <v>990</v>
      </c>
      <c r="D239" s="12">
        <v>17739</v>
      </c>
      <c r="E239" s="13" t="s">
        <v>393</v>
      </c>
      <c r="F239" s="13" t="s">
        <v>394</v>
      </c>
      <c r="G239" s="13" t="s">
        <v>56</v>
      </c>
      <c r="H239" s="13"/>
      <c r="I239" s="12">
        <v>2025</v>
      </c>
      <c r="J239" s="13" t="s">
        <v>395</v>
      </c>
      <c r="K239" s="12">
        <v>9785961433180</v>
      </c>
      <c r="L239" s="13" t="s">
        <v>396</v>
      </c>
      <c r="M239" s="12">
        <v>240</v>
      </c>
      <c r="N239" s="14">
        <v>0.38</v>
      </c>
      <c r="O239" s="12">
        <v>146</v>
      </c>
      <c r="P239" s="12">
        <v>216</v>
      </c>
      <c r="Q239" s="12">
        <v>16</v>
      </c>
      <c r="R239" s="13" t="s">
        <v>43</v>
      </c>
      <c r="S239" s="13"/>
      <c r="T239" s="15">
        <v>6000</v>
      </c>
      <c r="U239" s="13" t="s">
        <v>52</v>
      </c>
      <c r="V239" s="13" t="s">
        <v>269</v>
      </c>
      <c r="W239" s="12">
        <v>10</v>
      </c>
      <c r="X239" s="33" t="str">
        <f>HYPERLINK("https://www.alpinabook.ru/catalog/book-dengi-delayut-dengi","ссылка на книгу")</f>
        <v>ссылка на книгу</v>
      </c>
      <c r="Y239" s="34" t="str">
        <f>HYPERLINK("https://api-enni.alpina.ru/FilePrivilegesApproval/77","https://api-enni.alpina.ru/FilePrivilegesApproval/77")</f>
        <v>https://api-enni.alpina.ru/FilePrivilegesApproval/77</v>
      </c>
      <c r="Z239" s="13" t="s">
        <v>70</v>
      </c>
      <c r="AT239" s="1">
        <f t="shared" si="30"/>
        <v>0</v>
      </c>
      <c r="AU239" s="1">
        <f t="shared" si="31"/>
        <v>0</v>
      </c>
      <c r="AV239" s="1">
        <f t="shared" si="32"/>
        <v>0</v>
      </c>
      <c r="AW239" s="1">
        <f t="shared" si="33"/>
        <v>0</v>
      </c>
      <c r="AX239" s="1">
        <f t="shared" si="34"/>
        <v>0</v>
      </c>
    </row>
    <row r="240" spans="1:50" s="1" customFormat="1" ht="24.95" customHeight="1" outlineLevel="1" x14ac:dyDescent="0.2">
      <c r="A240" s="11"/>
      <c r="B240" s="12">
        <v>290</v>
      </c>
      <c r="C240" s="12">
        <v>440</v>
      </c>
      <c r="D240" s="12">
        <v>12728</v>
      </c>
      <c r="E240" s="13" t="s">
        <v>322</v>
      </c>
      <c r="F240" s="13" t="s">
        <v>323</v>
      </c>
      <c r="G240" s="13" t="s">
        <v>56</v>
      </c>
      <c r="H240" s="13" t="s">
        <v>40</v>
      </c>
      <c r="I240" s="12">
        <v>2024</v>
      </c>
      <c r="J240" s="13" t="s">
        <v>324</v>
      </c>
      <c r="K240" s="12">
        <v>9785961426823</v>
      </c>
      <c r="L240" s="13" t="s">
        <v>325</v>
      </c>
      <c r="M240" s="12">
        <v>288</v>
      </c>
      <c r="N240" s="14">
        <v>0.19</v>
      </c>
      <c r="O240" s="12">
        <v>115</v>
      </c>
      <c r="P240" s="12">
        <v>165</v>
      </c>
      <c r="Q240" s="12">
        <v>10</v>
      </c>
      <c r="R240" s="13" t="s">
        <v>75</v>
      </c>
      <c r="S240" s="13" t="s">
        <v>253</v>
      </c>
      <c r="T240" s="15">
        <v>15000</v>
      </c>
      <c r="U240" s="13" t="s">
        <v>44</v>
      </c>
      <c r="V240" s="13" t="s">
        <v>64</v>
      </c>
      <c r="W240" s="12">
        <v>10</v>
      </c>
      <c r="X240" s="33" t="str">
        <f>HYPERLINK("https://www.alpinabook.ru/catalog/book-boysya-no-deystvuy","ссылка на книгу")</f>
        <v>ссылка на книгу</v>
      </c>
      <c r="Y240" s="34" t="str">
        <f>HYPERLINK("https://api-enni.alpina.ru/FilePrivilegesApproval/128","https://api-enni.alpina.ru/FilePrivilegesApproval/128")</f>
        <v>https://api-enni.alpina.ru/FilePrivilegesApproval/128</v>
      </c>
      <c r="Z240" s="13"/>
      <c r="AT240" s="1">
        <f t="shared" si="30"/>
        <v>0</v>
      </c>
      <c r="AU240" s="1">
        <f t="shared" si="31"/>
        <v>0</v>
      </c>
      <c r="AV240" s="1">
        <f t="shared" si="32"/>
        <v>0</v>
      </c>
      <c r="AW240" s="1">
        <f t="shared" si="33"/>
        <v>0</v>
      </c>
      <c r="AX240" s="1">
        <f t="shared" si="34"/>
        <v>0</v>
      </c>
    </row>
    <row r="241" spans="1:50" s="1" customFormat="1" ht="24.95" customHeight="1" outlineLevel="1" x14ac:dyDescent="0.2">
      <c r="A241" s="11"/>
      <c r="B241" s="12">
        <v>990</v>
      </c>
      <c r="C241" s="15">
        <v>1390</v>
      </c>
      <c r="D241" s="12">
        <v>1747</v>
      </c>
      <c r="E241" s="13" t="s">
        <v>291</v>
      </c>
      <c r="F241" s="13" t="s">
        <v>465</v>
      </c>
      <c r="G241" s="13" t="s">
        <v>39</v>
      </c>
      <c r="H241" s="13" t="s">
        <v>40</v>
      </c>
      <c r="I241" s="12">
        <v>2025</v>
      </c>
      <c r="J241" s="13" t="s">
        <v>466</v>
      </c>
      <c r="K241" s="12">
        <v>9785961465372</v>
      </c>
      <c r="L241" s="13" t="s">
        <v>467</v>
      </c>
      <c r="M241" s="12">
        <v>808</v>
      </c>
      <c r="N241" s="14">
        <v>0.99</v>
      </c>
      <c r="O241" s="12">
        <v>150</v>
      </c>
      <c r="P241" s="12">
        <v>210</v>
      </c>
      <c r="Q241" s="12">
        <v>3</v>
      </c>
      <c r="R241" s="13" t="s">
        <v>43</v>
      </c>
      <c r="S241" s="13"/>
      <c r="T241" s="15">
        <v>5000</v>
      </c>
      <c r="U241" s="13" t="s">
        <v>52</v>
      </c>
      <c r="V241" s="13" t="s">
        <v>45</v>
      </c>
      <c r="W241" s="12">
        <v>10</v>
      </c>
      <c r="X241" s="33" t="str">
        <f>HYPERLINK("https://www.alpinabook.ru/catalog/book-istochnik-2-toma","ссылка на книгу")</f>
        <v>ссылка на книгу</v>
      </c>
      <c r="Y241" s="34" t="str">
        <f>HYPERLINK("https://api-enni.alpina.ru/FilePrivilegesApproval/2","https://api-enni.alpina.ru/FilePrivilegesApproval/2")</f>
        <v>https://api-enni.alpina.ru/FilePrivilegesApproval/2</v>
      </c>
      <c r="Z241" s="13"/>
      <c r="AT241" s="1">
        <f t="shared" si="30"/>
        <v>0</v>
      </c>
      <c r="AU241" s="1">
        <f t="shared" si="31"/>
        <v>0</v>
      </c>
      <c r="AV241" s="1">
        <f t="shared" si="32"/>
        <v>0</v>
      </c>
      <c r="AW241" s="1">
        <f t="shared" si="33"/>
        <v>0</v>
      </c>
      <c r="AX241" s="1">
        <f t="shared" si="34"/>
        <v>0</v>
      </c>
    </row>
    <row r="242" spans="1:50" s="1" customFormat="1" ht="24.95" customHeight="1" outlineLevel="1" x14ac:dyDescent="0.2">
      <c r="A242" s="11"/>
      <c r="B242" s="12">
        <v>590</v>
      </c>
      <c r="C242" s="12">
        <v>790</v>
      </c>
      <c r="D242" s="12">
        <v>11456</v>
      </c>
      <c r="E242" s="13" t="s">
        <v>576</v>
      </c>
      <c r="F242" s="13" t="s">
        <v>577</v>
      </c>
      <c r="G242" s="13" t="s">
        <v>56</v>
      </c>
      <c r="H242" s="13" t="s">
        <v>40</v>
      </c>
      <c r="I242" s="12">
        <v>2025</v>
      </c>
      <c r="J242" s="13" t="s">
        <v>578</v>
      </c>
      <c r="K242" s="12">
        <v>9785961432121</v>
      </c>
      <c r="L242" s="13" t="s">
        <v>579</v>
      </c>
      <c r="M242" s="12">
        <v>300</v>
      </c>
      <c r="N242" s="14">
        <v>0.44</v>
      </c>
      <c r="O242" s="12">
        <v>140</v>
      </c>
      <c r="P242" s="12">
        <v>200</v>
      </c>
      <c r="Q242" s="12">
        <v>8</v>
      </c>
      <c r="R242" s="13" t="s">
        <v>43</v>
      </c>
      <c r="S242" s="13"/>
      <c r="T242" s="15">
        <v>15000</v>
      </c>
      <c r="U242" s="13" t="s">
        <v>44</v>
      </c>
      <c r="V242" s="13" t="s">
        <v>45</v>
      </c>
      <c r="W242" s="12">
        <v>10</v>
      </c>
      <c r="X242" s="33" t="str">
        <f>HYPERLINK("https://www.alpinabook.ru/catalog/book-muzhskie-pravila","ссылка на книгу")</f>
        <v>ссылка на книгу</v>
      </c>
      <c r="Y242" s="34" t="str">
        <f>HYPERLINK("https://api-enni.alpina.ru/FilePrivilegesApproval/51","https://api-enni.alpina.ru/FilePrivilegesApproval/51")</f>
        <v>https://api-enni.alpina.ru/FilePrivilegesApproval/51</v>
      </c>
      <c r="Z242" s="13" t="s">
        <v>132</v>
      </c>
      <c r="AT242" s="1">
        <f t="shared" si="30"/>
        <v>0</v>
      </c>
      <c r="AU242" s="1">
        <f t="shared" si="31"/>
        <v>0</v>
      </c>
      <c r="AV242" s="1">
        <f t="shared" si="32"/>
        <v>0</v>
      </c>
      <c r="AW242" s="1">
        <f t="shared" si="33"/>
        <v>0</v>
      </c>
      <c r="AX242" s="1">
        <f t="shared" si="34"/>
        <v>0</v>
      </c>
    </row>
    <row r="243" spans="1:50" s="1" customFormat="1" ht="24.95" customHeight="1" outlineLevel="1" x14ac:dyDescent="0.2">
      <c r="A243" s="11"/>
      <c r="B243" s="12">
        <v>840</v>
      </c>
      <c r="C243" s="15">
        <v>1290</v>
      </c>
      <c r="D243" s="12">
        <v>8035</v>
      </c>
      <c r="E243" s="13" t="s">
        <v>827</v>
      </c>
      <c r="F243" s="13" t="s">
        <v>828</v>
      </c>
      <c r="G243" s="13" t="s">
        <v>56</v>
      </c>
      <c r="H243" s="13"/>
      <c r="I243" s="12">
        <v>2025</v>
      </c>
      <c r="J243" s="13" t="s">
        <v>829</v>
      </c>
      <c r="K243" s="12">
        <v>9785961465419</v>
      </c>
      <c r="L243" s="13" t="s">
        <v>830</v>
      </c>
      <c r="M243" s="12">
        <v>376</v>
      </c>
      <c r="N243" s="14">
        <v>0.56999999999999995</v>
      </c>
      <c r="O243" s="12">
        <v>140</v>
      </c>
      <c r="P243" s="12">
        <v>210</v>
      </c>
      <c r="Q243" s="12">
        <v>8</v>
      </c>
      <c r="R243" s="13" t="s">
        <v>43</v>
      </c>
      <c r="S243" s="13"/>
      <c r="T243" s="15">
        <v>7000</v>
      </c>
      <c r="U243" s="13" t="s">
        <v>44</v>
      </c>
      <c r="V243" s="13" t="s">
        <v>59</v>
      </c>
      <c r="W243" s="12">
        <v>10</v>
      </c>
      <c r="X243" s="33" t="str">
        <f>HYPERLINK("https://www.alpinabook.ru/catalog/book-ya-manipuliruyu-toboy","ссылка на книгу")</f>
        <v>ссылка на книгу</v>
      </c>
      <c r="Y243" s="34" t="str">
        <f>HYPERLINK("https://api-enni.alpina.ru/FilePrivilegesApproval/152","https://api-enni.alpina.ru/FilePrivilegesApproval/152")</f>
        <v>https://api-enni.alpina.ru/FilePrivilegesApproval/152</v>
      </c>
      <c r="Z243" s="13" t="s">
        <v>775</v>
      </c>
      <c r="AT243" s="1">
        <f t="shared" si="30"/>
        <v>0</v>
      </c>
      <c r="AU243" s="1">
        <f t="shared" si="31"/>
        <v>0</v>
      </c>
      <c r="AV243" s="1">
        <f t="shared" si="32"/>
        <v>0</v>
      </c>
      <c r="AW243" s="1">
        <f t="shared" si="33"/>
        <v>0</v>
      </c>
      <c r="AX243" s="1">
        <f t="shared" si="34"/>
        <v>0</v>
      </c>
    </row>
    <row r="244" spans="1:50" s="1" customFormat="1" ht="24.95" customHeight="1" outlineLevel="1" x14ac:dyDescent="0.2">
      <c r="A244" s="11"/>
      <c r="B244" s="12">
        <v>340</v>
      </c>
      <c r="C244" s="12">
        <v>540</v>
      </c>
      <c r="D244" s="12">
        <v>12407</v>
      </c>
      <c r="E244" s="13" t="s">
        <v>514</v>
      </c>
      <c r="F244" s="13" t="s">
        <v>515</v>
      </c>
      <c r="G244" s="13" t="s">
        <v>56</v>
      </c>
      <c r="H244" s="13" t="s">
        <v>40</v>
      </c>
      <c r="I244" s="12">
        <v>2025</v>
      </c>
      <c r="J244" s="13" t="s">
        <v>516</v>
      </c>
      <c r="K244" s="12">
        <v>9785961425222</v>
      </c>
      <c r="L244" s="13" t="s">
        <v>517</v>
      </c>
      <c r="M244" s="12">
        <v>324</v>
      </c>
      <c r="N244" s="14">
        <v>0.22</v>
      </c>
      <c r="O244" s="12">
        <v>115</v>
      </c>
      <c r="P244" s="12">
        <v>165</v>
      </c>
      <c r="Q244" s="12">
        <v>10</v>
      </c>
      <c r="R244" s="13" t="s">
        <v>75</v>
      </c>
      <c r="S244" s="13" t="s">
        <v>253</v>
      </c>
      <c r="T244" s="15">
        <v>5000</v>
      </c>
      <c r="U244" s="13" t="s">
        <v>44</v>
      </c>
      <c r="V244" s="13" t="s">
        <v>64</v>
      </c>
      <c r="W244" s="12">
        <v>10</v>
      </c>
      <c r="X244" s="33" t="str">
        <f>HYPERLINK("https://www.alpinabook.ru/catalog/book-luchshaya-versiya-sebya","ссылка на книгу")</f>
        <v>ссылка на книгу</v>
      </c>
      <c r="Y244" s="34" t="str">
        <f>HYPERLINK("https://api-enni.alpina.ru/FilePrivilegesApproval/125","https://api-enni.alpina.ru/FilePrivilegesApproval/125")</f>
        <v>https://api-enni.alpina.ru/FilePrivilegesApproval/125</v>
      </c>
      <c r="Z244" s="13" t="s">
        <v>392</v>
      </c>
      <c r="AT244" s="1">
        <f t="shared" si="30"/>
        <v>0</v>
      </c>
      <c r="AU244" s="1">
        <f t="shared" si="31"/>
        <v>0</v>
      </c>
      <c r="AV244" s="1">
        <f t="shared" si="32"/>
        <v>0</v>
      </c>
      <c r="AW244" s="1">
        <f t="shared" si="33"/>
        <v>0</v>
      </c>
      <c r="AX244" s="1">
        <f t="shared" si="34"/>
        <v>0</v>
      </c>
    </row>
    <row r="245" spans="1:50" s="1" customFormat="1" ht="24.95" customHeight="1" outlineLevel="1" x14ac:dyDescent="0.2">
      <c r="A245" s="11"/>
      <c r="B245" s="12">
        <v>290</v>
      </c>
      <c r="C245" s="12">
        <v>440</v>
      </c>
      <c r="D245" s="12">
        <v>27319</v>
      </c>
      <c r="E245" s="13" t="s">
        <v>258</v>
      </c>
      <c r="F245" s="13" t="s">
        <v>784</v>
      </c>
      <c r="G245" s="13" t="s">
        <v>56</v>
      </c>
      <c r="H245" s="13" t="s">
        <v>40</v>
      </c>
      <c r="I245" s="12">
        <v>2025</v>
      </c>
      <c r="J245" s="13" t="s">
        <v>785</v>
      </c>
      <c r="K245" s="12">
        <v>9785961484625</v>
      </c>
      <c r="L245" s="13" t="s">
        <v>786</v>
      </c>
      <c r="M245" s="12">
        <v>176</v>
      </c>
      <c r="N245" s="14">
        <v>0.14000000000000001</v>
      </c>
      <c r="O245" s="12">
        <v>120</v>
      </c>
      <c r="P245" s="12">
        <v>170</v>
      </c>
      <c r="Q245" s="12">
        <v>16</v>
      </c>
      <c r="R245" s="13" t="s">
        <v>75</v>
      </c>
      <c r="S245" s="13" t="s">
        <v>76</v>
      </c>
      <c r="T245" s="15">
        <v>10000</v>
      </c>
      <c r="U245" s="13" t="s">
        <v>44</v>
      </c>
      <c r="V245" s="13" t="s">
        <v>64</v>
      </c>
      <c r="W245" s="12">
        <v>10</v>
      </c>
      <c r="X245" s="33" t="str">
        <f>HYPERLINK("https://www.alpinabook.ru/catalog/book-ty-to-chto-ty-dumaesh","ссылка на книгу")</f>
        <v>ссылка на книгу</v>
      </c>
      <c r="Y245" s="34" t="str">
        <f>HYPERLINK("https://api-enni.alpina.ru/FilePrivilegesApproval/186","https://api-enni.alpina.ru/FilePrivilegesApproval/186")</f>
        <v>https://api-enni.alpina.ru/FilePrivilegesApproval/186</v>
      </c>
      <c r="Z245" s="13" t="s">
        <v>392</v>
      </c>
      <c r="AT245" s="1">
        <f t="shared" si="30"/>
        <v>0</v>
      </c>
      <c r="AU245" s="1">
        <f t="shared" si="31"/>
        <v>0</v>
      </c>
      <c r="AV245" s="1">
        <f t="shared" si="32"/>
        <v>0</v>
      </c>
      <c r="AW245" s="1">
        <f t="shared" si="33"/>
        <v>0</v>
      </c>
      <c r="AX245" s="1">
        <f t="shared" si="34"/>
        <v>0</v>
      </c>
    </row>
    <row r="246" spans="1:50" s="1" customFormat="1" ht="24.95" customHeight="1" outlineLevel="1" x14ac:dyDescent="0.2">
      <c r="A246" s="11"/>
      <c r="B246" s="12">
        <v>290</v>
      </c>
      <c r="C246" s="12">
        <v>440</v>
      </c>
      <c r="D246" s="12">
        <v>11310</v>
      </c>
      <c r="E246" s="13" t="s">
        <v>522</v>
      </c>
      <c r="F246" s="13" t="s">
        <v>523</v>
      </c>
      <c r="G246" s="13" t="s">
        <v>56</v>
      </c>
      <c r="H246" s="13" t="s">
        <v>164</v>
      </c>
      <c r="I246" s="12">
        <v>2025</v>
      </c>
      <c r="J246" s="13" t="s">
        <v>524</v>
      </c>
      <c r="K246" s="12">
        <v>9785961417616</v>
      </c>
      <c r="L246" s="13" t="s">
        <v>525</v>
      </c>
      <c r="M246" s="12">
        <v>268</v>
      </c>
      <c r="N246" s="14">
        <v>0.18</v>
      </c>
      <c r="O246" s="12">
        <v>115</v>
      </c>
      <c r="P246" s="12">
        <v>165</v>
      </c>
      <c r="Q246" s="12">
        <v>10</v>
      </c>
      <c r="R246" s="13" t="s">
        <v>75</v>
      </c>
      <c r="S246" s="13" t="s">
        <v>76</v>
      </c>
      <c r="T246" s="15">
        <v>5000</v>
      </c>
      <c r="U246" s="13" t="s">
        <v>44</v>
      </c>
      <c r="V246" s="13" t="s">
        <v>45</v>
      </c>
      <c r="W246" s="12">
        <v>10</v>
      </c>
      <c r="X246" s="33" t="str">
        <f>HYPERLINK("https://www.alpinabook.ru/catalog/book-lyubi-sebya","ссылка на книгу")</f>
        <v>ссылка на книгу</v>
      </c>
      <c r="Y246" s="34" t="str">
        <f>HYPERLINK("https://api-enni.alpina.ru/FilePrivilegesApproval/2","https://api-enni.alpina.ru/FilePrivilegesApproval/2")</f>
        <v>https://api-enni.alpina.ru/FilePrivilegesApproval/2</v>
      </c>
      <c r="Z246" s="13" t="s">
        <v>142</v>
      </c>
      <c r="AT246" s="1">
        <f t="shared" si="30"/>
        <v>0</v>
      </c>
      <c r="AU246" s="1">
        <f t="shared" si="31"/>
        <v>0</v>
      </c>
      <c r="AV246" s="1">
        <f t="shared" si="32"/>
        <v>0</v>
      </c>
      <c r="AW246" s="1">
        <f t="shared" si="33"/>
        <v>0</v>
      </c>
      <c r="AX246" s="1">
        <f t="shared" si="34"/>
        <v>0</v>
      </c>
    </row>
    <row r="247" spans="1:50" ht="15" customHeight="1" x14ac:dyDescent="0.2">
      <c r="A247" s="50" t="s">
        <v>853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18"/>
    </row>
    <row r="248" spans="1:50" ht="15" customHeight="1" outlineLevel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19"/>
      <c r="AT248">
        <f>IF($A248&lt;&gt;0,1,0)</f>
        <v>0</v>
      </c>
      <c r="AU248">
        <f>$A248*$B248</f>
        <v>0</v>
      </c>
      <c r="AV248">
        <f>$A248*$N248</f>
        <v>0</v>
      </c>
      <c r="AW248">
        <f>IF($Q248=0,0,INT($A248/$Q248))</f>
        <v>0</v>
      </c>
      <c r="AX248">
        <f>$A248-$AW248*$Q248</f>
        <v>0</v>
      </c>
    </row>
    <row r="249" spans="1:50" ht="11.1" customHeight="1" outlineLevel="2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20"/>
      <c r="AT249">
        <f>IF($A249&lt;&gt;0,1,0)</f>
        <v>0</v>
      </c>
      <c r="AU249">
        <f>$A249*$B249</f>
        <v>0</v>
      </c>
      <c r="AV249">
        <f>$A249*$N249</f>
        <v>0</v>
      </c>
      <c r="AW249">
        <f>IF($Q249=0,0,INT($A249/$Q249))</f>
        <v>0</v>
      </c>
      <c r="AX249">
        <f>$A249-$AW249*$Q249</f>
        <v>0</v>
      </c>
    </row>
    <row r="250" spans="1:50" s="1" customFormat="1" ht="21.95" customHeight="1" outlineLevel="3" x14ac:dyDescent="0.2">
      <c r="A250" s="11"/>
      <c r="B250" s="15">
        <v>2400</v>
      </c>
      <c r="C250" s="15">
        <v>2890</v>
      </c>
      <c r="D250" s="12">
        <v>25176</v>
      </c>
      <c r="E250" s="13"/>
      <c r="F250" s="13" t="s">
        <v>854</v>
      </c>
      <c r="G250" s="13" t="s">
        <v>56</v>
      </c>
      <c r="H250" s="13"/>
      <c r="I250" s="12">
        <v>2022</v>
      </c>
      <c r="J250" s="13" t="s">
        <v>855</v>
      </c>
      <c r="K250" s="12">
        <v>9785961477078</v>
      </c>
      <c r="L250" s="13" t="s">
        <v>856</v>
      </c>
      <c r="M250" s="13"/>
      <c r="N250" s="14">
        <v>2.09</v>
      </c>
      <c r="O250" s="11"/>
      <c r="P250" s="11"/>
      <c r="Q250" s="12">
        <v>4</v>
      </c>
      <c r="R250" s="13"/>
      <c r="S250" s="13"/>
      <c r="T250" s="15">
        <v>1000</v>
      </c>
      <c r="U250" s="13"/>
      <c r="V250" s="13" t="s">
        <v>45</v>
      </c>
      <c r="W250" s="12">
        <v>20</v>
      </c>
      <c r="X250" s="33" t="str">
        <f>HYPERLINK("https://www.alpinabook.ru/catalog/book-silnyy-tekst-i-delovaya-perepiska","ссылка на книгу")</f>
        <v>ссылка на книгу</v>
      </c>
      <c r="Y250" s="34" t="str">
        <f>HYPERLINK("","")</f>
        <v/>
      </c>
      <c r="Z250" s="13"/>
      <c r="AT250" s="1">
        <f>IF($A250&lt;&gt;0,1,0)</f>
        <v>0</v>
      </c>
      <c r="AU250" s="1">
        <f>$A250*$B250</f>
        <v>0</v>
      </c>
      <c r="AV250" s="1">
        <f>$A250*$N250</f>
        <v>0</v>
      </c>
      <c r="AW250" s="1">
        <f>IF($Q250=0,0,INT($A250/$Q250))</f>
        <v>0</v>
      </c>
      <c r="AX250" s="1">
        <f>$A250-$AW250*$Q250</f>
        <v>0</v>
      </c>
    </row>
    <row r="251" spans="1:50" ht="15" customHeight="1" outlineLevel="1" x14ac:dyDescent="0.2">
      <c r="A251" s="39" t="s">
        <v>857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19"/>
    </row>
    <row r="252" spans="1:50" ht="11.1" customHeight="1" outlineLevel="2" x14ac:dyDescent="0.2">
      <c r="A252" s="40" t="s">
        <v>858</v>
      </c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20"/>
    </row>
    <row r="253" spans="1:50" s="1" customFormat="1" ht="21.95" customHeight="1" outlineLevel="3" x14ac:dyDescent="0.2">
      <c r="A253" s="21"/>
      <c r="B253" s="22">
        <v>640</v>
      </c>
      <c r="C253" s="22">
        <v>940</v>
      </c>
      <c r="D253" s="22">
        <v>25511</v>
      </c>
      <c r="E253" s="23" t="s">
        <v>263</v>
      </c>
      <c r="F253" s="23" t="s">
        <v>859</v>
      </c>
      <c r="G253" s="23" t="s">
        <v>56</v>
      </c>
      <c r="H253" s="23" t="s">
        <v>164</v>
      </c>
      <c r="I253" s="22">
        <v>2024</v>
      </c>
      <c r="J253" s="23" t="s">
        <v>860</v>
      </c>
      <c r="K253" s="22">
        <v>9785961483857</v>
      </c>
      <c r="L253" s="23" t="s">
        <v>861</v>
      </c>
      <c r="M253" s="22">
        <v>304</v>
      </c>
      <c r="N253" s="24">
        <v>0.48</v>
      </c>
      <c r="O253" s="22">
        <v>150</v>
      </c>
      <c r="P253" s="22">
        <v>220</v>
      </c>
      <c r="Q253" s="22">
        <v>6</v>
      </c>
      <c r="R253" s="23" t="s">
        <v>43</v>
      </c>
      <c r="S253" s="23" t="s">
        <v>267</v>
      </c>
      <c r="T253" s="25">
        <v>6000</v>
      </c>
      <c r="U253" s="23" t="s">
        <v>268</v>
      </c>
      <c r="V253" s="23" t="s">
        <v>269</v>
      </c>
      <c r="W253" s="22">
        <v>20</v>
      </c>
      <c r="X253" s="35" t="str">
        <f>HYPERLINK("https://www.alpinabook.ru/catalog/book-6-minut-pure-by-gunta","ссылка на книгу")</f>
        <v>ссылка на книгу</v>
      </c>
      <c r="Y253" s="36" t="str">
        <f>HYPERLINK("","")</f>
        <v/>
      </c>
      <c r="Z253" s="23"/>
      <c r="AT253" s="1">
        <f t="shared" ref="AT253:AT297" si="35">IF($A253&lt;&gt;0,1,0)</f>
        <v>0</v>
      </c>
      <c r="AU253" s="1">
        <f t="shared" ref="AU253:AU297" si="36">$A253*$B253</f>
        <v>0</v>
      </c>
      <c r="AV253" s="1">
        <f t="shared" ref="AV253:AV297" si="37">$A253*$N253</f>
        <v>0</v>
      </c>
      <c r="AW253" s="1">
        <f t="shared" ref="AW253:AW297" si="38">IF($Q253=0,0,INT($A253/$Q253))</f>
        <v>0</v>
      </c>
      <c r="AX253" s="1">
        <f t="shared" ref="AX253:AX297" si="39">$A253-$AW253*$Q253</f>
        <v>0</v>
      </c>
    </row>
    <row r="254" spans="1:50" s="1" customFormat="1" ht="24.95" customHeight="1" outlineLevel="3" x14ac:dyDescent="0.2">
      <c r="A254" s="21"/>
      <c r="B254" s="22">
        <v>840</v>
      </c>
      <c r="C254" s="25">
        <v>1090</v>
      </c>
      <c r="D254" s="22">
        <v>25769</v>
      </c>
      <c r="E254" s="23" t="s">
        <v>287</v>
      </c>
      <c r="F254" s="23" t="s">
        <v>288</v>
      </c>
      <c r="G254" s="23" t="s">
        <v>97</v>
      </c>
      <c r="H254" s="23"/>
      <c r="I254" s="22">
        <v>2025</v>
      </c>
      <c r="J254" s="23" t="s">
        <v>289</v>
      </c>
      <c r="K254" s="22">
        <v>9785206000177</v>
      </c>
      <c r="L254" s="23" t="s">
        <v>290</v>
      </c>
      <c r="M254" s="22">
        <v>335</v>
      </c>
      <c r="N254" s="24">
        <v>0.5</v>
      </c>
      <c r="O254" s="22">
        <v>140</v>
      </c>
      <c r="P254" s="22">
        <v>200</v>
      </c>
      <c r="Q254" s="22">
        <v>8</v>
      </c>
      <c r="R254" s="23" t="s">
        <v>43</v>
      </c>
      <c r="S254" s="23"/>
      <c r="T254" s="25">
        <v>5000</v>
      </c>
      <c r="U254" s="23" t="s">
        <v>44</v>
      </c>
      <c r="V254" s="23" t="s">
        <v>59</v>
      </c>
      <c r="W254" s="22">
        <v>10</v>
      </c>
      <c r="X254" s="35" t="str">
        <f>HYPERLINK("https://www.alpinabook.ru/catalog/book-adekvatnost","ссылка на книгу")</f>
        <v>ссылка на книгу</v>
      </c>
      <c r="Y254" s="36" t="str">
        <f>HYPERLINK("https://api-enni.alpina.ru/FilePrivilegesApproval/167","https://api-enni.alpina.ru/FilePrivilegesApproval/167")</f>
        <v>https://api-enni.alpina.ru/FilePrivilegesApproval/167</v>
      </c>
      <c r="Z254" s="23" t="s">
        <v>65</v>
      </c>
      <c r="AT254" s="1">
        <f t="shared" si="35"/>
        <v>0</v>
      </c>
      <c r="AU254" s="1">
        <f t="shared" si="36"/>
        <v>0</v>
      </c>
      <c r="AV254" s="1">
        <f t="shared" si="37"/>
        <v>0</v>
      </c>
      <c r="AW254" s="1">
        <f t="shared" si="38"/>
        <v>0</v>
      </c>
      <c r="AX254" s="1">
        <f t="shared" si="39"/>
        <v>0</v>
      </c>
    </row>
    <row r="255" spans="1:50" s="1" customFormat="1" ht="24.95" customHeight="1" outlineLevel="3" x14ac:dyDescent="0.2">
      <c r="A255" s="21"/>
      <c r="B255" s="22">
        <v>790</v>
      </c>
      <c r="C255" s="25">
        <v>1190</v>
      </c>
      <c r="D255" s="22">
        <v>17607</v>
      </c>
      <c r="E255" s="23" t="s">
        <v>827</v>
      </c>
      <c r="F255" s="23" t="s">
        <v>862</v>
      </c>
      <c r="G255" s="23" t="s">
        <v>56</v>
      </c>
      <c r="H255" s="23"/>
      <c r="I255" s="22">
        <v>2025</v>
      </c>
      <c r="J255" s="23" t="s">
        <v>863</v>
      </c>
      <c r="K255" s="22">
        <v>9785961431445</v>
      </c>
      <c r="L255" s="23" t="s">
        <v>864</v>
      </c>
      <c r="M255" s="22">
        <v>578</v>
      </c>
      <c r="N255" s="24">
        <v>0.88</v>
      </c>
      <c r="O255" s="22">
        <v>140</v>
      </c>
      <c r="P255" s="22">
        <v>210</v>
      </c>
      <c r="Q255" s="22">
        <v>6</v>
      </c>
      <c r="R255" s="23" t="s">
        <v>43</v>
      </c>
      <c r="S255" s="23"/>
      <c r="T255" s="25">
        <v>4000</v>
      </c>
      <c r="U255" s="23" t="s">
        <v>44</v>
      </c>
      <c r="V255" s="23" t="s">
        <v>45</v>
      </c>
      <c r="W255" s="22">
        <v>10</v>
      </c>
      <c r="X255" s="35" t="str">
        <f>HYPERLINK("https://www.alpinabook.ru/catalog/book-anatomiya-zabluzhdeniy","ссылка на книгу")</f>
        <v>ссылка на книгу</v>
      </c>
      <c r="Y255" s="36" t="str">
        <f>HYPERLINK("https://api-enni.alpina.ru/FilePrivilegesApproval/152","https://api-enni.alpina.ru/FilePrivilegesApproval/152")</f>
        <v>https://api-enni.alpina.ru/FilePrivilegesApproval/152</v>
      </c>
      <c r="Z255" s="23" t="s">
        <v>865</v>
      </c>
      <c r="AT255" s="1">
        <f t="shared" si="35"/>
        <v>0</v>
      </c>
      <c r="AU255" s="1">
        <f t="shared" si="36"/>
        <v>0</v>
      </c>
      <c r="AV255" s="1">
        <f t="shared" si="37"/>
        <v>0</v>
      </c>
      <c r="AW255" s="1">
        <f t="shared" si="38"/>
        <v>0</v>
      </c>
      <c r="AX255" s="1">
        <f t="shared" si="39"/>
        <v>0</v>
      </c>
    </row>
    <row r="256" spans="1:50" s="1" customFormat="1" ht="24.95" customHeight="1" outlineLevel="3" x14ac:dyDescent="0.2">
      <c r="A256" s="21"/>
      <c r="B256" s="22">
        <v>590</v>
      </c>
      <c r="C256" s="22">
        <v>840</v>
      </c>
      <c r="D256" s="22">
        <v>28867</v>
      </c>
      <c r="E256" s="23" t="s">
        <v>866</v>
      </c>
      <c r="F256" s="23" t="s">
        <v>867</v>
      </c>
      <c r="G256" s="23" t="s">
        <v>56</v>
      </c>
      <c r="H256" s="23"/>
      <c r="I256" s="22">
        <v>2025</v>
      </c>
      <c r="J256" s="23" t="s">
        <v>868</v>
      </c>
      <c r="K256" s="22">
        <v>9785961490411</v>
      </c>
      <c r="L256" s="23" t="s">
        <v>869</v>
      </c>
      <c r="M256" s="22">
        <v>358</v>
      </c>
      <c r="N256" s="24">
        <v>0.53</v>
      </c>
      <c r="O256" s="22">
        <v>150</v>
      </c>
      <c r="P256" s="22">
        <v>220</v>
      </c>
      <c r="Q256" s="22">
        <v>12</v>
      </c>
      <c r="R256" s="23" t="s">
        <v>43</v>
      </c>
      <c r="S256" s="23"/>
      <c r="T256" s="25">
        <v>2000</v>
      </c>
      <c r="U256" s="23" t="s">
        <v>52</v>
      </c>
      <c r="V256" s="23" t="s">
        <v>45</v>
      </c>
      <c r="W256" s="22">
        <v>10</v>
      </c>
      <c r="X256" s="35" t="str">
        <f>HYPERLINK("https://www.alpinabook.ru/catalog/book-bez-oglyadki-na-mamu","ссылка на книгу")</f>
        <v>ссылка на книгу</v>
      </c>
      <c r="Y256" s="36" t="str">
        <f>HYPERLINK("https://api-enni.alpina.ru/FilePrivilegesApproval/405","https://api-enni.alpina.ru/FilePrivilegesApproval/405")</f>
        <v>https://api-enni.alpina.ru/FilePrivilegesApproval/405</v>
      </c>
      <c r="Z256" s="23" t="s">
        <v>732</v>
      </c>
      <c r="AT256" s="1">
        <f t="shared" si="35"/>
        <v>0</v>
      </c>
      <c r="AU256" s="1">
        <f t="shared" si="36"/>
        <v>0</v>
      </c>
      <c r="AV256" s="1">
        <f t="shared" si="37"/>
        <v>0</v>
      </c>
      <c r="AW256" s="1">
        <f t="shared" si="38"/>
        <v>0</v>
      </c>
      <c r="AX256" s="1">
        <f t="shared" si="39"/>
        <v>0</v>
      </c>
    </row>
    <row r="257" spans="1:50" s="1" customFormat="1" ht="24.95" customHeight="1" outlineLevel="3" x14ac:dyDescent="0.2">
      <c r="A257" s="21"/>
      <c r="B257" s="22">
        <v>540</v>
      </c>
      <c r="C257" s="22">
        <v>790</v>
      </c>
      <c r="D257" s="22">
        <v>28270</v>
      </c>
      <c r="E257" s="23" t="s">
        <v>330</v>
      </c>
      <c r="F257" s="23" t="s">
        <v>331</v>
      </c>
      <c r="G257" s="23" t="s">
        <v>56</v>
      </c>
      <c r="H257" s="23" t="s">
        <v>40</v>
      </c>
      <c r="I257" s="22">
        <v>2025</v>
      </c>
      <c r="J257" s="23" t="s">
        <v>332</v>
      </c>
      <c r="K257" s="22">
        <v>9785961487633</v>
      </c>
      <c r="L257" s="23" t="s">
        <v>333</v>
      </c>
      <c r="M257" s="22">
        <v>232</v>
      </c>
      <c r="N257" s="24">
        <v>0.53</v>
      </c>
      <c r="O257" s="22">
        <v>150</v>
      </c>
      <c r="P257" s="22">
        <v>220</v>
      </c>
      <c r="Q257" s="22">
        <v>12</v>
      </c>
      <c r="R257" s="23" t="s">
        <v>43</v>
      </c>
      <c r="S257" s="23"/>
      <c r="T257" s="25">
        <v>7000</v>
      </c>
      <c r="U257" s="23" t="s">
        <v>52</v>
      </c>
      <c r="V257" s="23" t="s">
        <v>45</v>
      </c>
      <c r="W257" s="22">
        <v>10</v>
      </c>
      <c r="X257" s="35" t="str">
        <f>HYPERLINK("https://www.alpinabook.ru/catalog/book-bud-nuzhnym","ссылка на книгу")</f>
        <v>ссылка на книгу</v>
      </c>
      <c r="Y257" s="36" t="str">
        <f>HYPERLINK("https://api-enni.alpina.ru/FilePrivilegesApproval/315","https://api-enni.alpina.ru/FilePrivilegesApproval/315")</f>
        <v>https://api-enni.alpina.ru/FilePrivilegesApproval/315</v>
      </c>
      <c r="Z257" s="23" t="s">
        <v>334</v>
      </c>
      <c r="AT257" s="1">
        <f t="shared" si="35"/>
        <v>0</v>
      </c>
      <c r="AU257" s="1">
        <f t="shared" si="36"/>
        <v>0</v>
      </c>
      <c r="AV257" s="1">
        <f t="shared" si="37"/>
        <v>0</v>
      </c>
      <c r="AW257" s="1">
        <f t="shared" si="38"/>
        <v>0</v>
      </c>
      <c r="AX257" s="1">
        <f t="shared" si="39"/>
        <v>0</v>
      </c>
    </row>
    <row r="258" spans="1:50" s="1" customFormat="1" ht="24.95" customHeight="1" outlineLevel="3" x14ac:dyDescent="0.2">
      <c r="A258" s="21"/>
      <c r="B258" s="22">
        <v>590</v>
      </c>
      <c r="C258" s="22">
        <v>840</v>
      </c>
      <c r="D258" s="22">
        <v>28812</v>
      </c>
      <c r="E258" s="23" t="s">
        <v>870</v>
      </c>
      <c r="F258" s="23" t="s">
        <v>871</v>
      </c>
      <c r="G258" s="23" t="s">
        <v>56</v>
      </c>
      <c r="H258" s="23" t="s">
        <v>40</v>
      </c>
      <c r="I258" s="22">
        <v>2024</v>
      </c>
      <c r="J258" s="23" t="s">
        <v>872</v>
      </c>
      <c r="K258" s="22">
        <v>9785961490152</v>
      </c>
      <c r="L258" s="23" t="s">
        <v>873</v>
      </c>
      <c r="M258" s="22">
        <v>306</v>
      </c>
      <c r="N258" s="24">
        <v>0.62</v>
      </c>
      <c r="O258" s="22">
        <v>170</v>
      </c>
      <c r="P258" s="22">
        <v>240</v>
      </c>
      <c r="Q258" s="22">
        <v>7</v>
      </c>
      <c r="R258" s="23" t="s">
        <v>94</v>
      </c>
      <c r="S258" s="23"/>
      <c r="T258" s="25">
        <v>2000</v>
      </c>
      <c r="U258" s="23" t="s">
        <v>52</v>
      </c>
      <c r="V258" s="23" t="s">
        <v>59</v>
      </c>
      <c r="W258" s="22">
        <v>10</v>
      </c>
      <c r="X258" s="35" t="str">
        <f>HYPERLINK("https://www.alpinabook.ru/catalog/book-vremya-zabluzhdeniy","ссылка на книгу")</f>
        <v>ссылка на книгу</v>
      </c>
      <c r="Y258" s="36" t="str">
        <f>HYPERLINK("https://api-enni.alpina.ru/FilePrivilegesApproval/405","https://api-enni.alpina.ru/FilePrivilegesApproval/405")</f>
        <v>https://api-enni.alpina.ru/FilePrivilegesApproval/405</v>
      </c>
      <c r="Z258" s="23"/>
      <c r="AT258" s="1">
        <f t="shared" si="35"/>
        <v>0</v>
      </c>
      <c r="AU258" s="1">
        <f t="shared" si="36"/>
        <v>0</v>
      </c>
      <c r="AV258" s="1">
        <f t="shared" si="37"/>
        <v>0</v>
      </c>
      <c r="AW258" s="1">
        <f t="shared" si="38"/>
        <v>0</v>
      </c>
      <c r="AX258" s="1">
        <f t="shared" si="39"/>
        <v>0</v>
      </c>
    </row>
    <row r="259" spans="1:50" s="1" customFormat="1" ht="24.95" customHeight="1" outlineLevel="3" x14ac:dyDescent="0.2">
      <c r="A259" s="21"/>
      <c r="B259" s="22">
        <v>550</v>
      </c>
      <c r="C259" s="22">
        <v>790</v>
      </c>
      <c r="D259" s="22">
        <v>11449</v>
      </c>
      <c r="E259" s="23" t="s">
        <v>576</v>
      </c>
      <c r="F259" s="23" t="s">
        <v>874</v>
      </c>
      <c r="G259" s="23" t="s">
        <v>56</v>
      </c>
      <c r="H259" s="23" t="s">
        <v>40</v>
      </c>
      <c r="I259" s="22">
        <v>2024</v>
      </c>
      <c r="J259" s="23" t="s">
        <v>875</v>
      </c>
      <c r="K259" s="22">
        <v>9785961426625</v>
      </c>
      <c r="L259" s="23" t="s">
        <v>876</v>
      </c>
      <c r="M259" s="22">
        <v>320</v>
      </c>
      <c r="N259" s="24">
        <v>0.44</v>
      </c>
      <c r="O259" s="22">
        <v>140</v>
      </c>
      <c r="P259" s="22">
        <v>200</v>
      </c>
      <c r="Q259" s="22">
        <v>6</v>
      </c>
      <c r="R259" s="23" t="s">
        <v>43</v>
      </c>
      <c r="S259" s="23"/>
      <c r="T259" s="25">
        <v>15000</v>
      </c>
      <c r="U259" s="23" t="s">
        <v>44</v>
      </c>
      <c r="V259" s="23" t="s">
        <v>45</v>
      </c>
      <c r="W259" s="22">
        <v>10</v>
      </c>
      <c r="X259" s="35" t="str">
        <f>HYPERLINK("https://www.alpinabook.ru/catalog/book-vsye-khrenovo","ссылка на книгу")</f>
        <v>ссылка на книгу</v>
      </c>
      <c r="Y259" s="36" t="str">
        <f>HYPERLINK("https://api-enni.alpina.ru/FilePrivilegesApproval/132","https://api-enni.alpina.ru/FilePrivilegesApproval/132")</f>
        <v>https://api-enni.alpina.ru/FilePrivilegesApproval/132</v>
      </c>
      <c r="Z259" s="23"/>
      <c r="AT259" s="1">
        <f t="shared" si="35"/>
        <v>0</v>
      </c>
      <c r="AU259" s="1">
        <f t="shared" si="36"/>
        <v>0</v>
      </c>
      <c r="AV259" s="1">
        <f t="shared" si="37"/>
        <v>0</v>
      </c>
      <c r="AW259" s="1">
        <f t="shared" si="38"/>
        <v>0</v>
      </c>
      <c r="AX259" s="1">
        <f t="shared" si="39"/>
        <v>0</v>
      </c>
    </row>
    <row r="260" spans="1:50" s="1" customFormat="1" ht="24.95" customHeight="1" outlineLevel="3" x14ac:dyDescent="0.2">
      <c r="A260" s="21"/>
      <c r="B260" s="22">
        <v>790</v>
      </c>
      <c r="C260" s="25">
        <v>1190</v>
      </c>
      <c r="D260" s="22">
        <v>24349</v>
      </c>
      <c r="E260" s="23" t="s">
        <v>877</v>
      </c>
      <c r="F260" s="23" t="s">
        <v>878</v>
      </c>
      <c r="G260" s="23" t="s">
        <v>97</v>
      </c>
      <c r="H260" s="23"/>
      <c r="I260" s="22">
        <v>2024</v>
      </c>
      <c r="J260" s="23" t="s">
        <v>879</v>
      </c>
      <c r="K260" s="22">
        <v>9785907470729</v>
      </c>
      <c r="L260" s="23" t="s">
        <v>880</v>
      </c>
      <c r="M260" s="22">
        <v>152</v>
      </c>
      <c r="N260" s="24">
        <v>0.3</v>
      </c>
      <c r="O260" s="22">
        <v>160</v>
      </c>
      <c r="P260" s="22">
        <v>220</v>
      </c>
      <c r="Q260" s="22">
        <v>12</v>
      </c>
      <c r="R260" s="23" t="s">
        <v>43</v>
      </c>
      <c r="S260" s="23"/>
      <c r="T260" s="25">
        <v>4000</v>
      </c>
      <c r="U260" s="23" t="s">
        <v>52</v>
      </c>
      <c r="V260" s="23" t="s">
        <v>59</v>
      </c>
      <c r="W260" s="22">
        <v>10</v>
      </c>
      <c r="X260" s="35" t="str">
        <f>HYPERLINK("https://www.alpinabook.ru/catalog/book-deti-ne-zarabatyvayut","ссылка на книгу")</f>
        <v>ссылка на книгу</v>
      </c>
      <c r="Y260" s="36" t="str">
        <f>HYPERLINK("https://api-enni.alpina.ru/FilePrivilegesApproval/414","https://api-enni.alpina.ru/FilePrivilegesApproval/414")</f>
        <v>https://api-enni.alpina.ru/FilePrivilegesApproval/414</v>
      </c>
      <c r="Z260" s="23"/>
      <c r="AT260" s="1">
        <f t="shared" si="35"/>
        <v>0</v>
      </c>
      <c r="AU260" s="1">
        <f t="shared" si="36"/>
        <v>0</v>
      </c>
      <c r="AV260" s="1">
        <f t="shared" si="37"/>
        <v>0</v>
      </c>
      <c r="AW260" s="1">
        <f t="shared" si="38"/>
        <v>0</v>
      </c>
      <c r="AX260" s="1">
        <f t="shared" si="39"/>
        <v>0</v>
      </c>
    </row>
    <row r="261" spans="1:50" s="1" customFormat="1" ht="24.95" customHeight="1" outlineLevel="3" x14ac:dyDescent="0.2">
      <c r="A261" s="21"/>
      <c r="B261" s="22">
        <v>640</v>
      </c>
      <c r="C261" s="22">
        <v>890</v>
      </c>
      <c r="D261" s="22">
        <v>928</v>
      </c>
      <c r="E261" s="23" t="s">
        <v>881</v>
      </c>
      <c r="F261" s="23" t="s">
        <v>882</v>
      </c>
      <c r="G261" s="23" t="s">
        <v>56</v>
      </c>
      <c r="H261" s="23" t="s">
        <v>40</v>
      </c>
      <c r="I261" s="22">
        <v>2025</v>
      </c>
      <c r="J261" s="23" t="s">
        <v>883</v>
      </c>
      <c r="K261" s="22">
        <v>9785961468670</v>
      </c>
      <c r="L261" s="23" t="s">
        <v>884</v>
      </c>
      <c r="M261" s="22">
        <v>416</v>
      </c>
      <c r="N261" s="24">
        <v>0.51</v>
      </c>
      <c r="O261" s="22">
        <v>140</v>
      </c>
      <c r="P261" s="22">
        <v>210</v>
      </c>
      <c r="Q261" s="22">
        <v>10</v>
      </c>
      <c r="R261" s="23" t="s">
        <v>43</v>
      </c>
      <c r="S261" s="23"/>
      <c r="T261" s="25">
        <v>5000</v>
      </c>
      <c r="U261" s="23" t="s">
        <v>44</v>
      </c>
      <c r="V261" s="23" t="s">
        <v>64</v>
      </c>
      <c r="W261" s="22">
        <v>10</v>
      </c>
      <c r="X261" s="35" t="str">
        <f>HYPERLINK("https://www.alpinabook.ru/catalog/book-dogovoritsya-mozhno-obo-vsem","ссылка на книгу")</f>
        <v>ссылка на книгу</v>
      </c>
      <c r="Y261" s="36" t="str">
        <f>HYPERLINK("https://api-enni.alpina.ru/FilePrivilegesApproval/156","https://api-enni.alpina.ru/FilePrivilegesApproval/156")</f>
        <v>https://api-enni.alpina.ru/FilePrivilegesApproval/156</v>
      </c>
      <c r="Z261" s="23"/>
      <c r="AT261" s="1">
        <f t="shared" si="35"/>
        <v>0</v>
      </c>
      <c r="AU261" s="1">
        <f t="shared" si="36"/>
        <v>0</v>
      </c>
      <c r="AV261" s="1">
        <f t="shared" si="37"/>
        <v>0</v>
      </c>
      <c r="AW261" s="1">
        <f t="shared" si="38"/>
        <v>0</v>
      </c>
      <c r="AX261" s="1">
        <f t="shared" si="39"/>
        <v>0</v>
      </c>
    </row>
    <row r="262" spans="1:50" s="1" customFormat="1" ht="24.95" customHeight="1" outlineLevel="3" x14ac:dyDescent="0.2">
      <c r="A262" s="21"/>
      <c r="B262" s="22">
        <v>340</v>
      </c>
      <c r="C262" s="22">
        <v>540</v>
      </c>
      <c r="D262" s="22">
        <v>27446</v>
      </c>
      <c r="E262" s="23" t="s">
        <v>885</v>
      </c>
      <c r="F262" s="23" t="s">
        <v>886</v>
      </c>
      <c r="G262" s="23" t="s">
        <v>56</v>
      </c>
      <c r="H262" s="23" t="s">
        <v>40</v>
      </c>
      <c r="I262" s="22">
        <v>2025</v>
      </c>
      <c r="J262" s="23" t="s">
        <v>887</v>
      </c>
      <c r="K262" s="22">
        <v>9785961485127</v>
      </c>
      <c r="L262" s="23" t="s">
        <v>888</v>
      </c>
      <c r="M262" s="22">
        <v>416</v>
      </c>
      <c r="N262" s="24">
        <v>0.27</v>
      </c>
      <c r="O262" s="22">
        <v>120</v>
      </c>
      <c r="P262" s="22">
        <v>170</v>
      </c>
      <c r="Q262" s="22">
        <v>8</v>
      </c>
      <c r="R262" s="23" t="s">
        <v>75</v>
      </c>
      <c r="S262" s="23" t="s">
        <v>253</v>
      </c>
      <c r="T262" s="25">
        <v>4000</v>
      </c>
      <c r="U262" s="23" t="s">
        <v>44</v>
      </c>
      <c r="V262" s="23" t="s">
        <v>64</v>
      </c>
      <c r="W262" s="22">
        <v>10</v>
      </c>
      <c r="X262" s="35" t="str">
        <f>HYPERLINK("https://www.alpinabook.ru/catalog/book-dumay-kak-matematik","ссылка на книгу")</f>
        <v>ссылка на книгу</v>
      </c>
      <c r="Y262" s="36" t="str">
        <f>HYPERLINK("https://api-enni.alpina.ru/FilePrivilegesApproval/200","https://api-enni.alpina.ru/FilePrivilegesApproval/200")</f>
        <v>https://api-enni.alpina.ru/FilePrivilegesApproval/200</v>
      </c>
      <c r="Z262" s="23"/>
      <c r="AT262" s="1">
        <f t="shared" si="35"/>
        <v>0</v>
      </c>
      <c r="AU262" s="1">
        <f t="shared" si="36"/>
        <v>0</v>
      </c>
      <c r="AV262" s="1">
        <f t="shared" si="37"/>
        <v>0</v>
      </c>
      <c r="AW262" s="1">
        <f t="shared" si="38"/>
        <v>0</v>
      </c>
      <c r="AX262" s="1">
        <f t="shared" si="39"/>
        <v>0</v>
      </c>
    </row>
    <row r="263" spans="1:50" s="1" customFormat="1" ht="24.95" customHeight="1" outlineLevel="3" x14ac:dyDescent="0.2">
      <c r="A263" s="21"/>
      <c r="B263" s="22">
        <v>730</v>
      </c>
      <c r="C263" s="25">
        <v>1090</v>
      </c>
      <c r="D263" s="22">
        <v>4491</v>
      </c>
      <c r="E263" s="23" t="s">
        <v>885</v>
      </c>
      <c r="F263" s="23" t="s">
        <v>889</v>
      </c>
      <c r="G263" s="23" t="s">
        <v>56</v>
      </c>
      <c r="H263" s="23" t="s">
        <v>40</v>
      </c>
      <c r="I263" s="22">
        <v>2024</v>
      </c>
      <c r="J263" s="23" t="s">
        <v>890</v>
      </c>
      <c r="K263" s="22">
        <v>9785961466249</v>
      </c>
      <c r="L263" s="23" t="s">
        <v>891</v>
      </c>
      <c r="M263" s="22">
        <v>288</v>
      </c>
      <c r="N263" s="24">
        <v>0.56999999999999995</v>
      </c>
      <c r="O263" s="22">
        <v>170</v>
      </c>
      <c r="P263" s="22">
        <v>240</v>
      </c>
      <c r="Q263" s="22">
        <v>8</v>
      </c>
      <c r="R263" s="23" t="s">
        <v>94</v>
      </c>
      <c r="S263" s="23"/>
      <c r="T263" s="25">
        <v>5000</v>
      </c>
      <c r="U263" s="23" t="s">
        <v>52</v>
      </c>
      <c r="V263" s="23" t="s">
        <v>64</v>
      </c>
      <c r="W263" s="22">
        <v>10</v>
      </c>
      <c r="X263" s="35" t="str">
        <f>HYPERLINK("https://www.alpinabook.ru/catalog/book-dumay-kak-matematik","ссылка на книгу")</f>
        <v>ссылка на книгу</v>
      </c>
      <c r="Y263" s="36" t="str">
        <f>HYPERLINK("https://api-enni.alpina.ru/FilePrivilegesApproval/2","https://api-enni.alpina.ru/FilePrivilegesApproval/2")</f>
        <v>https://api-enni.alpina.ru/FilePrivilegesApproval/2</v>
      </c>
      <c r="Z263" s="23"/>
      <c r="AT263" s="1">
        <f t="shared" si="35"/>
        <v>0</v>
      </c>
      <c r="AU263" s="1">
        <f t="shared" si="36"/>
        <v>0</v>
      </c>
      <c r="AV263" s="1">
        <f t="shared" si="37"/>
        <v>0</v>
      </c>
      <c r="AW263" s="1">
        <f t="shared" si="38"/>
        <v>0</v>
      </c>
      <c r="AX263" s="1">
        <f t="shared" si="39"/>
        <v>0</v>
      </c>
    </row>
    <row r="264" spans="1:50" s="1" customFormat="1" ht="24.95" customHeight="1" outlineLevel="3" x14ac:dyDescent="0.2">
      <c r="A264" s="26"/>
      <c r="B264" s="27">
        <v>690</v>
      </c>
      <c r="C264" s="28">
        <v>1090</v>
      </c>
      <c r="D264" s="27">
        <v>27469</v>
      </c>
      <c r="E264" s="29" t="s">
        <v>892</v>
      </c>
      <c r="F264" s="29" t="s">
        <v>893</v>
      </c>
      <c r="G264" s="29" t="s">
        <v>97</v>
      </c>
      <c r="H264" s="29"/>
      <c r="I264" s="27">
        <v>2024</v>
      </c>
      <c r="J264" s="29" t="s">
        <v>894</v>
      </c>
      <c r="K264" s="27">
        <v>9785206001532</v>
      </c>
      <c r="L264" s="29" t="s">
        <v>895</v>
      </c>
      <c r="M264" s="27">
        <v>600</v>
      </c>
      <c r="N264" s="30">
        <v>0.83</v>
      </c>
      <c r="O264" s="27">
        <v>160</v>
      </c>
      <c r="P264" s="27">
        <v>220</v>
      </c>
      <c r="Q264" s="27">
        <v>4</v>
      </c>
      <c r="R264" s="29" t="s">
        <v>43</v>
      </c>
      <c r="S264" s="29"/>
      <c r="T264" s="28">
        <v>1000</v>
      </c>
      <c r="U264" s="29" t="s">
        <v>52</v>
      </c>
      <c r="V264" s="29" t="s">
        <v>59</v>
      </c>
      <c r="W264" s="27">
        <v>10</v>
      </c>
      <c r="X264" s="37" t="str">
        <f>HYPERLINK("https://www.alpinabook.ru/catalog/book-za-kadrom","ссылка на книгу")</f>
        <v>ссылка на книгу</v>
      </c>
      <c r="Y264" s="38" t="str">
        <f>HYPERLINK("https://api-enni.alpina.ru/FilePrivilegesApproval/237","https://api-enni.alpina.ru/FilePrivilegesApproval/237")</f>
        <v>https://api-enni.alpina.ru/FilePrivilegesApproval/237</v>
      </c>
      <c r="Z264" s="29"/>
      <c r="AT264" s="1">
        <f t="shared" si="35"/>
        <v>0</v>
      </c>
      <c r="AU264" s="1">
        <f t="shared" si="36"/>
        <v>0</v>
      </c>
      <c r="AV264" s="1">
        <f t="shared" si="37"/>
        <v>0</v>
      </c>
      <c r="AW264" s="1">
        <f t="shared" si="38"/>
        <v>0</v>
      </c>
      <c r="AX264" s="1">
        <f t="shared" si="39"/>
        <v>0</v>
      </c>
    </row>
    <row r="265" spans="1:50" s="1" customFormat="1" ht="24.95" customHeight="1" outlineLevel="3" x14ac:dyDescent="0.2">
      <c r="A265" s="21"/>
      <c r="B265" s="22">
        <v>540</v>
      </c>
      <c r="C265" s="22">
        <v>790</v>
      </c>
      <c r="D265" s="22">
        <v>30258</v>
      </c>
      <c r="E265" s="23" t="s">
        <v>896</v>
      </c>
      <c r="F265" s="23" t="s">
        <v>897</v>
      </c>
      <c r="G265" s="23" t="s">
        <v>97</v>
      </c>
      <c r="H265" s="23"/>
      <c r="I265" s="22">
        <v>2024</v>
      </c>
      <c r="J265" s="23" t="s">
        <v>898</v>
      </c>
      <c r="K265" s="22">
        <v>9785206003130</v>
      </c>
      <c r="L265" s="23" t="s">
        <v>899</v>
      </c>
      <c r="M265" s="22">
        <v>136</v>
      </c>
      <c r="N265" s="24">
        <v>0.32</v>
      </c>
      <c r="O265" s="22">
        <v>150</v>
      </c>
      <c r="P265" s="22">
        <v>220</v>
      </c>
      <c r="Q265" s="22">
        <v>20</v>
      </c>
      <c r="R265" s="23" t="s">
        <v>43</v>
      </c>
      <c r="S265" s="23"/>
      <c r="T265" s="25">
        <v>2005</v>
      </c>
      <c r="U265" s="23" t="s">
        <v>52</v>
      </c>
      <c r="V265" s="23" t="s">
        <v>89</v>
      </c>
      <c r="W265" s="22">
        <v>10</v>
      </c>
      <c r="X265" s="35" t="str">
        <f>HYPERLINK("https://www.alpinabook.ru/catalog/book-zachem","ссылка на книгу")</f>
        <v>ссылка на книгу</v>
      </c>
      <c r="Y265" s="36" t="str">
        <f>HYPERLINK("https://api-enni.alpina.ru/FilePrivilegesApproval/537","https://api-enni.alpina.ru/FilePrivilegesApproval/537")</f>
        <v>https://api-enni.alpina.ru/FilePrivilegesApproval/537</v>
      </c>
      <c r="Z265" s="23"/>
      <c r="AT265" s="1">
        <f t="shared" si="35"/>
        <v>0</v>
      </c>
      <c r="AU265" s="1">
        <f t="shared" si="36"/>
        <v>0</v>
      </c>
      <c r="AV265" s="1">
        <f t="shared" si="37"/>
        <v>0</v>
      </c>
      <c r="AW265" s="1">
        <f t="shared" si="38"/>
        <v>0</v>
      </c>
      <c r="AX265" s="1">
        <f t="shared" si="39"/>
        <v>0</v>
      </c>
    </row>
    <row r="266" spans="1:50" s="1" customFormat="1" ht="24.95" customHeight="1" outlineLevel="3" x14ac:dyDescent="0.2">
      <c r="A266" s="21"/>
      <c r="B266" s="22">
        <v>790</v>
      </c>
      <c r="C266" s="22">
        <v>990</v>
      </c>
      <c r="D266" s="22">
        <v>24005</v>
      </c>
      <c r="E266" s="23" t="s">
        <v>900</v>
      </c>
      <c r="F266" s="23" t="s">
        <v>901</v>
      </c>
      <c r="G266" s="23" t="s">
        <v>97</v>
      </c>
      <c r="H266" s="23"/>
      <c r="I266" s="22">
        <v>2022</v>
      </c>
      <c r="J266" s="23" t="s">
        <v>902</v>
      </c>
      <c r="K266" s="22">
        <v>9785907534063</v>
      </c>
      <c r="L266" s="23" t="s">
        <v>903</v>
      </c>
      <c r="M266" s="22">
        <v>152</v>
      </c>
      <c r="N266" s="24">
        <v>0.28000000000000003</v>
      </c>
      <c r="O266" s="22">
        <v>146</v>
      </c>
      <c r="P266" s="22">
        <v>216</v>
      </c>
      <c r="Q266" s="22">
        <v>14</v>
      </c>
      <c r="R266" s="23" t="s">
        <v>43</v>
      </c>
      <c r="S266" s="23"/>
      <c r="T266" s="25">
        <v>2000</v>
      </c>
      <c r="U266" s="23" t="s">
        <v>52</v>
      </c>
      <c r="V266" s="23" t="s">
        <v>45</v>
      </c>
      <c r="W266" s="22">
        <v>10</v>
      </c>
      <c r="X266" s="35" t="str">
        <f>HYPERLINK("https://www.alpinabook.ru/catalog/book-zvezda-efira","ссылка на книгу")</f>
        <v>ссылка на книгу</v>
      </c>
      <c r="Y266" s="36" t="str">
        <f>HYPERLINK("https://api-enni.alpina.ru/FilePrivilegesApproval/139","https://api-enni.alpina.ru/FilePrivilegesApproval/139")</f>
        <v>https://api-enni.alpina.ru/FilePrivilegesApproval/139</v>
      </c>
      <c r="Z266" s="23"/>
      <c r="AT266" s="1">
        <f t="shared" si="35"/>
        <v>0</v>
      </c>
      <c r="AU266" s="1">
        <f t="shared" si="36"/>
        <v>0</v>
      </c>
      <c r="AV266" s="1">
        <f t="shared" si="37"/>
        <v>0</v>
      </c>
      <c r="AW266" s="1">
        <f t="shared" si="38"/>
        <v>0</v>
      </c>
      <c r="AX266" s="1">
        <f t="shared" si="39"/>
        <v>0</v>
      </c>
    </row>
    <row r="267" spans="1:50" s="1" customFormat="1" ht="24.95" customHeight="1" outlineLevel="3" x14ac:dyDescent="0.2">
      <c r="A267" s="21"/>
      <c r="B267" s="22">
        <v>490</v>
      </c>
      <c r="C267" s="22">
        <v>740</v>
      </c>
      <c r="D267" s="22">
        <v>24037</v>
      </c>
      <c r="E267" s="23" t="s">
        <v>904</v>
      </c>
      <c r="F267" s="23" t="s">
        <v>905</v>
      </c>
      <c r="G267" s="23" t="s">
        <v>56</v>
      </c>
      <c r="H267" s="23"/>
      <c r="I267" s="22">
        <v>2025</v>
      </c>
      <c r="J267" s="23" t="s">
        <v>906</v>
      </c>
      <c r="K267" s="22">
        <v>9785961485417</v>
      </c>
      <c r="L267" s="23" t="s">
        <v>907</v>
      </c>
      <c r="M267" s="22">
        <v>200</v>
      </c>
      <c r="N267" s="24">
        <v>0.33</v>
      </c>
      <c r="O267" s="22">
        <v>150</v>
      </c>
      <c r="P267" s="22">
        <v>220</v>
      </c>
      <c r="Q267" s="22">
        <v>20</v>
      </c>
      <c r="R267" s="23" t="s">
        <v>43</v>
      </c>
      <c r="S267" s="23"/>
      <c r="T267" s="25">
        <v>2000</v>
      </c>
      <c r="U267" s="23" t="s">
        <v>52</v>
      </c>
      <c r="V267" s="23" t="s">
        <v>45</v>
      </c>
      <c r="W267" s="22">
        <v>10</v>
      </c>
      <c r="X267" s="35" t="str">
        <f>HYPERLINK("https://www.alpinabook.ru/catalog/book-materinskaya-vlast","ссылка на книгу")</f>
        <v>ссылка на книгу</v>
      </c>
      <c r="Y267" s="36" t="str">
        <f>HYPERLINK("https://api-enni.alpina.ru/FilePrivilegesApproval/300","https://api-enni.alpina.ru/FilePrivilegesApproval/300")</f>
        <v>https://api-enni.alpina.ru/FilePrivilegesApproval/300</v>
      </c>
      <c r="Z267" s="23"/>
      <c r="AT267" s="1">
        <f t="shared" si="35"/>
        <v>0</v>
      </c>
      <c r="AU267" s="1">
        <f t="shared" si="36"/>
        <v>0</v>
      </c>
      <c r="AV267" s="1">
        <f t="shared" si="37"/>
        <v>0</v>
      </c>
      <c r="AW267" s="1">
        <f t="shared" si="38"/>
        <v>0</v>
      </c>
      <c r="AX267" s="1">
        <f t="shared" si="39"/>
        <v>0</v>
      </c>
    </row>
    <row r="268" spans="1:50" s="1" customFormat="1" ht="24.95" customHeight="1" outlineLevel="3" x14ac:dyDescent="0.2">
      <c r="A268" s="21"/>
      <c r="B268" s="22">
        <v>590</v>
      </c>
      <c r="C268" s="22">
        <v>840</v>
      </c>
      <c r="D268" s="22">
        <v>30283</v>
      </c>
      <c r="E268" s="23" t="s">
        <v>908</v>
      </c>
      <c r="F268" s="23" t="s">
        <v>909</v>
      </c>
      <c r="G268" s="23" t="s">
        <v>56</v>
      </c>
      <c r="H268" s="23" t="s">
        <v>200</v>
      </c>
      <c r="I268" s="22">
        <v>2025</v>
      </c>
      <c r="J268" s="23" t="s">
        <v>910</v>
      </c>
      <c r="K268" s="22">
        <v>9785961495102</v>
      </c>
      <c r="L268" s="23" t="s">
        <v>911</v>
      </c>
      <c r="M268" s="22">
        <v>272</v>
      </c>
      <c r="N268" s="24">
        <v>0.43</v>
      </c>
      <c r="O268" s="22">
        <v>150</v>
      </c>
      <c r="P268" s="22">
        <v>220</v>
      </c>
      <c r="Q268" s="22">
        <v>14</v>
      </c>
      <c r="R268" s="23" t="s">
        <v>43</v>
      </c>
      <c r="S268" s="23"/>
      <c r="T268" s="25">
        <v>2000</v>
      </c>
      <c r="U268" s="23" t="s">
        <v>52</v>
      </c>
      <c r="V268" s="23" t="s">
        <v>45</v>
      </c>
      <c r="W268" s="22">
        <v>10</v>
      </c>
      <c r="X268" s="35" t="str">
        <f>HYPERLINK("https://www.alpinabook.ru/catalog/book-mentalitet-udachi","ссылка на книгу")</f>
        <v>ссылка на книгу</v>
      </c>
      <c r="Y268" s="36" t="str">
        <f>HYPERLINK("https://api-enni.alpina.ru/FilePrivilegesApproval/633","https://api-enni.alpina.ru/FilePrivilegesApproval/633")</f>
        <v>https://api-enni.alpina.ru/FilePrivilegesApproval/633</v>
      </c>
      <c r="Z268" s="23" t="s">
        <v>77</v>
      </c>
      <c r="AT268" s="1">
        <f t="shared" si="35"/>
        <v>0</v>
      </c>
      <c r="AU268" s="1">
        <f t="shared" si="36"/>
        <v>0</v>
      </c>
      <c r="AV268" s="1">
        <f t="shared" si="37"/>
        <v>0</v>
      </c>
      <c r="AW268" s="1">
        <f t="shared" si="38"/>
        <v>0</v>
      </c>
      <c r="AX268" s="1">
        <f t="shared" si="39"/>
        <v>0</v>
      </c>
    </row>
    <row r="269" spans="1:50" s="1" customFormat="1" ht="24.95" customHeight="1" outlineLevel="3" x14ac:dyDescent="0.2">
      <c r="A269" s="21"/>
      <c r="B269" s="22">
        <v>590</v>
      </c>
      <c r="C269" s="22">
        <v>790</v>
      </c>
      <c r="D269" s="22">
        <v>11456</v>
      </c>
      <c r="E269" s="23" t="s">
        <v>576</v>
      </c>
      <c r="F269" s="23" t="s">
        <v>577</v>
      </c>
      <c r="G269" s="23" t="s">
        <v>56</v>
      </c>
      <c r="H269" s="23" t="s">
        <v>40</v>
      </c>
      <c r="I269" s="22">
        <v>2025</v>
      </c>
      <c r="J269" s="23" t="s">
        <v>578</v>
      </c>
      <c r="K269" s="22">
        <v>9785961432121</v>
      </c>
      <c r="L269" s="23" t="s">
        <v>579</v>
      </c>
      <c r="M269" s="22">
        <v>300</v>
      </c>
      <c r="N269" s="24">
        <v>0.44</v>
      </c>
      <c r="O269" s="22">
        <v>140</v>
      </c>
      <c r="P269" s="22">
        <v>200</v>
      </c>
      <c r="Q269" s="22">
        <v>8</v>
      </c>
      <c r="R269" s="23" t="s">
        <v>43</v>
      </c>
      <c r="S269" s="23"/>
      <c r="T269" s="25">
        <v>15000</v>
      </c>
      <c r="U269" s="23" t="s">
        <v>44</v>
      </c>
      <c r="V269" s="23" t="s">
        <v>45</v>
      </c>
      <c r="W269" s="22">
        <v>10</v>
      </c>
      <c r="X269" s="35" t="str">
        <f>HYPERLINK("https://www.alpinabook.ru/catalog/book-muzhskie-pravila","ссылка на книгу")</f>
        <v>ссылка на книгу</v>
      </c>
      <c r="Y269" s="36" t="str">
        <f>HYPERLINK("https://api-enni.alpina.ru/FilePrivilegesApproval/51","https://api-enni.alpina.ru/FilePrivilegesApproval/51")</f>
        <v>https://api-enni.alpina.ru/FilePrivilegesApproval/51</v>
      </c>
      <c r="Z269" s="23" t="s">
        <v>132</v>
      </c>
      <c r="AT269" s="1">
        <f t="shared" si="35"/>
        <v>0</v>
      </c>
      <c r="AU269" s="1">
        <f t="shared" si="36"/>
        <v>0</v>
      </c>
      <c r="AV269" s="1">
        <f t="shared" si="37"/>
        <v>0</v>
      </c>
      <c r="AW269" s="1">
        <f t="shared" si="38"/>
        <v>0</v>
      </c>
      <c r="AX269" s="1">
        <f t="shared" si="39"/>
        <v>0</v>
      </c>
    </row>
    <row r="270" spans="1:50" s="1" customFormat="1" ht="24.95" customHeight="1" outlineLevel="3" x14ac:dyDescent="0.2">
      <c r="A270" s="21"/>
      <c r="B270" s="22">
        <v>740</v>
      </c>
      <c r="C270" s="25">
        <v>1090</v>
      </c>
      <c r="D270" s="22">
        <v>30017</v>
      </c>
      <c r="E270" s="23" t="s">
        <v>912</v>
      </c>
      <c r="F270" s="23" t="s">
        <v>913</v>
      </c>
      <c r="G270" s="23" t="s">
        <v>56</v>
      </c>
      <c r="H270" s="23"/>
      <c r="I270" s="22">
        <v>2025</v>
      </c>
      <c r="J270" s="23" t="s">
        <v>914</v>
      </c>
      <c r="K270" s="22">
        <v>9785961494570</v>
      </c>
      <c r="L270" s="23" t="s">
        <v>915</v>
      </c>
      <c r="M270" s="22">
        <v>424</v>
      </c>
      <c r="N270" s="24">
        <v>0.65</v>
      </c>
      <c r="O270" s="22">
        <v>140</v>
      </c>
      <c r="P270" s="22">
        <v>210</v>
      </c>
      <c r="Q270" s="22">
        <v>6</v>
      </c>
      <c r="R270" s="23" t="s">
        <v>43</v>
      </c>
      <c r="S270" s="23"/>
      <c r="T270" s="25">
        <v>6000</v>
      </c>
      <c r="U270" s="23" t="s">
        <v>44</v>
      </c>
      <c r="V270" s="23" t="s">
        <v>59</v>
      </c>
      <c r="W270" s="22">
        <v>10</v>
      </c>
      <c r="X270" s="35" t="str">
        <f>HYPERLINK("https://www.alpinabook.ru/catalog/book-nado-dumat","ссылка на книгу")</f>
        <v>ссылка на книгу</v>
      </c>
      <c r="Y270" s="36" t="str">
        <f>HYPERLINK("https://api-enni.alpina.ru/FilePrivilegesApproval/746","https://api-enni.alpina.ru/FilePrivilegesApproval/746")</f>
        <v>https://api-enni.alpina.ru/FilePrivilegesApproval/746</v>
      </c>
      <c r="Z270" s="23"/>
      <c r="AT270" s="1">
        <f t="shared" si="35"/>
        <v>0</v>
      </c>
      <c r="AU270" s="1">
        <f t="shared" si="36"/>
        <v>0</v>
      </c>
      <c r="AV270" s="1">
        <f t="shared" si="37"/>
        <v>0</v>
      </c>
      <c r="AW270" s="1">
        <f t="shared" si="38"/>
        <v>0</v>
      </c>
      <c r="AX270" s="1">
        <f t="shared" si="39"/>
        <v>0</v>
      </c>
    </row>
    <row r="271" spans="1:50" s="1" customFormat="1" ht="24.95" customHeight="1" outlineLevel="3" x14ac:dyDescent="0.2">
      <c r="A271" s="21"/>
      <c r="B271" s="22">
        <v>690</v>
      </c>
      <c r="C271" s="22">
        <v>990</v>
      </c>
      <c r="D271" s="22">
        <v>11134</v>
      </c>
      <c r="E271" s="23" t="s">
        <v>916</v>
      </c>
      <c r="F271" s="23" t="s">
        <v>917</v>
      </c>
      <c r="G271" s="23" t="s">
        <v>86</v>
      </c>
      <c r="H271" s="23" t="s">
        <v>40</v>
      </c>
      <c r="I271" s="22">
        <v>2023</v>
      </c>
      <c r="J271" s="23" t="s">
        <v>918</v>
      </c>
      <c r="K271" s="22">
        <v>9785001390930</v>
      </c>
      <c r="L271" s="23" t="s">
        <v>919</v>
      </c>
      <c r="M271" s="22">
        <v>326</v>
      </c>
      <c r="N271" s="24">
        <v>0.48</v>
      </c>
      <c r="O271" s="22">
        <v>150</v>
      </c>
      <c r="P271" s="22">
        <v>220</v>
      </c>
      <c r="Q271" s="22">
        <v>12</v>
      </c>
      <c r="R271" s="23" t="s">
        <v>43</v>
      </c>
      <c r="S271" s="23"/>
      <c r="T271" s="25">
        <v>10000</v>
      </c>
      <c r="U271" s="23" t="s">
        <v>52</v>
      </c>
      <c r="V271" s="23" t="s">
        <v>45</v>
      </c>
      <c r="W271" s="22">
        <v>10</v>
      </c>
      <c r="X271" s="35" t="str">
        <f>HYPERLINK("https://www.alpinabook.ru/catalog/book-nelyubimaya-doch","ссылка на книгу")</f>
        <v>ссылка на книгу</v>
      </c>
      <c r="Y271" s="36" t="str">
        <f>HYPERLINK("https://api-enni.alpina.ru/FilePrivilegesApproval/148","https://api-enni.alpina.ru/FilePrivilegesApproval/148")</f>
        <v>https://api-enni.alpina.ru/FilePrivilegesApproval/148</v>
      </c>
      <c r="Z271" s="23"/>
      <c r="AT271" s="1">
        <f t="shared" si="35"/>
        <v>0</v>
      </c>
      <c r="AU271" s="1">
        <f t="shared" si="36"/>
        <v>0</v>
      </c>
      <c r="AV271" s="1">
        <f t="shared" si="37"/>
        <v>0</v>
      </c>
      <c r="AW271" s="1">
        <f t="shared" si="38"/>
        <v>0</v>
      </c>
      <c r="AX271" s="1">
        <f t="shared" si="39"/>
        <v>0</v>
      </c>
    </row>
    <row r="272" spans="1:50" s="1" customFormat="1" ht="24.95" customHeight="1" outlineLevel="3" x14ac:dyDescent="0.2">
      <c r="A272" s="21"/>
      <c r="B272" s="22">
        <v>340</v>
      </c>
      <c r="C272" s="22">
        <v>540</v>
      </c>
      <c r="D272" s="22">
        <v>27648</v>
      </c>
      <c r="E272" s="23" t="s">
        <v>916</v>
      </c>
      <c r="F272" s="23" t="s">
        <v>920</v>
      </c>
      <c r="G272" s="23" t="s">
        <v>86</v>
      </c>
      <c r="H272" s="23" t="s">
        <v>40</v>
      </c>
      <c r="I272" s="22">
        <v>2023</v>
      </c>
      <c r="J272" s="23" t="s">
        <v>921</v>
      </c>
      <c r="K272" s="22">
        <v>9785001399384</v>
      </c>
      <c r="L272" s="23" t="s">
        <v>922</v>
      </c>
      <c r="M272" s="22">
        <v>384</v>
      </c>
      <c r="N272" s="24">
        <v>0.25</v>
      </c>
      <c r="O272" s="22">
        <v>120</v>
      </c>
      <c r="P272" s="22">
        <v>170</v>
      </c>
      <c r="Q272" s="22">
        <v>10</v>
      </c>
      <c r="R272" s="23" t="s">
        <v>75</v>
      </c>
      <c r="S272" s="23" t="s">
        <v>76</v>
      </c>
      <c r="T272" s="25">
        <v>15000</v>
      </c>
      <c r="U272" s="23" t="s">
        <v>44</v>
      </c>
      <c r="V272" s="23" t="s">
        <v>45</v>
      </c>
      <c r="W272" s="22">
        <v>10</v>
      </c>
      <c r="X272" s="35" t="str">
        <f>HYPERLINK("https://www.alpinabook.ru/catalog/book-nelyubimaya-doch","ссылка на книгу")</f>
        <v>ссылка на книгу</v>
      </c>
      <c r="Y272" s="36" t="str">
        <f>HYPERLINK("https://api-enni.alpina.ru/FilePrivilegesApproval/150","https://api-enni.alpina.ru/FilePrivilegesApproval/150")</f>
        <v>https://api-enni.alpina.ru/FilePrivilegesApproval/150</v>
      </c>
      <c r="Z272" s="23"/>
      <c r="AT272" s="1">
        <f t="shared" si="35"/>
        <v>0</v>
      </c>
      <c r="AU272" s="1">
        <f t="shared" si="36"/>
        <v>0</v>
      </c>
      <c r="AV272" s="1">
        <f t="shared" si="37"/>
        <v>0</v>
      </c>
      <c r="AW272" s="1">
        <f t="shared" si="38"/>
        <v>0</v>
      </c>
      <c r="AX272" s="1">
        <f t="shared" si="39"/>
        <v>0</v>
      </c>
    </row>
    <row r="273" spans="1:50" s="1" customFormat="1" ht="24.95" customHeight="1" outlineLevel="3" x14ac:dyDescent="0.2">
      <c r="A273" s="21"/>
      <c r="B273" s="22">
        <v>460</v>
      </c>
      <c r="C273" s="22">
        <v>690</v>
      </c>
      <c r="D273" s="22">
        <v>23812</v>
      </c>
      <c r="E273" s="23" t="s">
        <v>727</v>
      </c>
      <c r="F273" s="23" t="s">
        <v>923</v>
      </c>
      <c r="G273" s="23" t="s">
        <v>86</v>
      </c>
      <c r="H273" s="23" t="s">
        <v>164</v>
      </c>
      <c r="I273" s="22">
        <v>2024</v>
      </c>
      <c r="J273" s="23" t="s">
        <v>924</v>
      </c>
      <c r="K273" s="22">
        <v>9785001396215</v>
      </c>
      <c r="L273" s="23" t="s">
        <v>925</v>
      </c>
      <c r="M273" s="22">
        <v>164</v>
      </c>
      <c r="N273" s="24">
        <v>0.19</v>
      </c>
      <c r="O273" s="22">
        <v>110</v>
      </c>
      <c r="P273" s="22">
        <v>180</v>
      </c>
      <c r="Q273" s="22">
        <v>24</v>
      </c>
      <c r="R273" s="23" t="s">
        <v>731</v>
      </c>
      <c r="S273" s="23"/>
      <c r="T273" s="25">
        <v>10000</v>
      </c>
      <c r="U273" s="23" t="s">
        <v>52</v>
      </c>
      <c r="V273" s="23" t="s">
        <v>45</v>
      </c>
      <c r="W273" s="22">
        <v>10</v>
      </c>
      <c r="X273" s="35" t="str">
        <f>HYPERLINK("https://www.alpinabook.ru/catalog/book-o-smysle-zhizni","ссылка на книгу")</f>
        <v>ссылка на книгу</v>
      </c>
      <c r="Y273" s="36" t="str">
        <f>HYPERLINK("https://api-enni.alpina.ru/FilePrivilegesApproval/175","https://api-enni.alpina.ru/FilePrivilegesApproval/175")</f>
        <v>https://api-enni.alpina.ru/FilePrivilegesApproval/175</v>
      </c>
      <c r="Z273" s="23"/>
      <c r="AT273" s="1">
        <f t="shared" si="35"/>
        <v>0</v>
      </c>
      <c r="AU273" s="1">
        <f t="shared" si="36"/>
        <v>0</v>
      </c>
      <c r="AV273" s="1">
        <f t="shared" si="37"/>
        <v>0</v>
      </c>
      <c r="AW273" s="1">
        <f t="shared" si="38"/>
        <v>0</v>
      </c>
      <c r="AX273" s="1">
        <f t="shared" si="39"/>
        <v>0</v>
      </c>
    </row>
    <row r="274" spans="1:50" s="1" customFormat="1" ht="24.95" customHeight="1" outlineLevel="3" x14ac:dyDescent="0.2">
      <c r="A274" s="21"/>
      <c r="B274" s="22">
        <v>790</v>
      </c>
      <c r="C274" s="22">
        <v>990</v>
      </c>
      <c r="D274" s="22">
        <v>28842</v>
      </c>
      <c r="E274" s="23" t="s">
        <v>618</v>
      </c>
      <c r="F274" s="23" t="s">
        <v>619</v>
      </c>
      <c r="G274" s="23" t="s">
        <v>56</v>
      </c>
      <c r="H274" s="23"/>
      <c r="I274" s="22">
        <v>2025</v>
      </c>
      <c r="J274" s="23" t="s">
        <v>620</v>
      </c>
      <c r="K274" s="22">
        <v>9785961490268</v>
      </c>
      <c r="L274" s="23" t="s">
        <v>621</v>
      </c>
      <c r="M274" s="22">
        <v>588</v>
      </c>
      <c r="N274" s="24">
        <v>0.93</v>
      </c>
      <c r="O274" s="22">
        <v>170</v>
      </c>
      <c r="P274" s="22">
        <v>240</v>
      </c>
      <c r="Q274" s="22">
        <v>6</v>
      </c>
      <c r="R274" s="23" t="s">
        <v>94</v>
      </c>
      <c r="S274" s="23"/>
      <c r="T274" s="25">
        <v>10000</v>
      </c>
      <c r="U274" s="23" t="s">
        <v>44</v>
      </c>
      <c r="V274" s="23" t="s">
        <v>45</v>
      </c>
      <c r="W274" s="22">
        <v>10</v>
      </c>
      <c r="X274" s="35" t="str">
        <f>HYPERLINK("https://www.alpinabook.ru/catalog/book-odin-na-odin-s-zhiznyu","ссылка на книгу")</f>
        <v>ссылка на книгу</v>
      </c>
      <c r="Y274" s="36" t="str">
        <f>HYPERLINK("https://api-enni.alpina.ru/FilePrivilegesApproval/336","https://api-enni.alpina.ru/FilePrivilegesApproval/336")</f>
        <v>https://api-enni.alpina.ru/FilePrivilegesApproval/336</v>
      </c>
      <c r="Z274" s="23" t="s">
        <v>343</v>
      </c>
      <c r="AT274" s="1">
        <f t="shared" si="35"/>
        <v>0</v>
      </c>
      <c r="AU274" s="1">
        <f t="shared" si="36"/>
        <v>0</v>
      </c>
      <c r="AV274" s="1">
        <f t="shared" si="37"/>
        <v>0</v>
      </c>
      <c r="AW274" s="1">
        <f t="shared" si="38"/>
        <v>0</v>
      </c>
      <c r="AX274" s="1">
        <f t="shared" si="39"/>
        <v>0</v>
      </c>
    </row>
    <row r="275" spans="1:50" s="1" customFormat="1" ht="24.95" customHeight="1" outlineLevel="3" x14ac:dyDescent="0.2">
      <c r="A275" s="21"/>
      <c r="B275" s="22">
        <v>990</v>
      </c>
      <c r="C275" s="25">
        <v>1290</v>
      </c>
      <c r="D275" s="22">
        <v>32428</v>
      </c>
      <c r="E275" s="23" t="s">
        <v>618</v>
      </c>
      <c r="F275" s="23" t="s">
        <v>926</v>
      </c>
      <c r="G275" s="23" t="s">
        <v>56</v>
      </c>
      <c r="H275" s="23"/>
      <c r="I275" s="22">
        <v>2025</v>
      </c>
      <c r="J275" s="23" t="s">
        <v>927</v>
      </c>
      <c r="K275" s="22">
        <v>9785006302235</v>
      </c>
      <c r="L275" s="23" t="s">
        <v>928</v>
      </c>
      <c r="M275" s="22">
        <v>588</v>
      </c>
      <c r="N275" s="24">
        <v>1.05</v>
      </c>
      <c r="O275" s="22">
        <v>170</v>
      </c>
      <c r="P275" s="22">
        <v>240</v>
      </c>
      <c r="Q275" s="22">
        <v>4</v>
      </c>
      <c r="R275" s="23" t="s">
        <v>94</v>
      </c>
      <c r="S275" s="23"/>
      <c r="T275" s="25">
        <v>5000</v>
      </c>
      <c r="U275" s="23" t="s">
        <v>52</v>
      </c>
      <c r="V275" s="23" t="s">
        <v>45</v>
      </c>
      <c r="W275" s="22">
        <v>10</v>
      </c>
      <c r="X275" s="35" t="str">
        <f>HYPERLINK("https://www.alpinabook.ru/catalog/book-odin-na-odin-s-zhiznyu-7bc","ссылка на книгу")</f>
        <v>ссылка на книгу</v>
      </c>
      <c r="Y275" s="36" t="str">
        <f>HYPERLINK("https://api-enni.alpina.ru/FilePrivilegesApproval/336","https://api-enni.alpina.ru/FilePrivilegesApproval/336")</f>
        <v>https://api-enni.alpina.ru/FilePrivilegesApproval/336</v>
      </c>
      <c r="Z275" s="23"/>
      <c r="AT275" s="1">
        <f t="shared" si="35"/>
        <v>0</v>
      </c>
      <c r="AU275" s="1">
        <f t="shared" si="36"/>
        <v>0</v>
      </c>
      <c r="AV275" s="1">
        <f t="shared" si="37"/>
        <v>0</v>
      </c>
      <c r="AW275" s="1">
        <f t="shared" si="38"/>
        <v>0</v>
      </c>
      <c r="AX275" s="1">
        <f t="shared" si="39"/>
        <v>0</v>
      </c>
    </row>
    <row r="276" spans="1:50" s="1" customFormat="1" ht="24.95" customHeight="1" outlineLevel="3" x14ac:dyDescent="0.2">
      <c r="A276" s="21"/>
      <c r="B276" s="22">
        <v>590</v>
      </c>
      <c r="C276" s="22">
        <v>840</v>
      </c>
      <c r="D276" s="22">
        <v>23434</v>
      </c>
      <c r="E276" s="23" t="s">
        <v>649</v>
      </c>
      <c r="F276" s="23" t="s">
        <v>650</v>
      </c>
      <c r="G276" s="23" t="s">
        <v>56</v>
      </c>
      <c r="H276" s="23"/>
      <c r="I276" s="22">
        <v>2025</v>
      </c>
      <c r="J276" s="23" t="s">
        <v>651</v>
      </c>
      <c r="K276" s="22">
        <v>9785961472554</v>
      </c>
      <c r="L276" s="23" t="s">
        <v>652</v>
      </c>
      <c r="M276" s="22">
        <v>221</v>
      </c>
      <c r="N276" s="24">
        <v>0.28999999999999998</v>
      </c>
      <c r="O276" s="22">
        <v>140</v>
      </c>
      <c r="P276" s="22">
        <v>210</v>
      </c>
      <c r="Q276" s="22">
        <v>20</v>
      </c>
      <c r="R276" s="23" t="s">
        <v>43</v>
      </c>
      <c r="S276" s="23"/>
      <c r="T276" s="25">
        <v>5000</v>
      </c>
      <c r="U276" s="23" t="s">
        <v>44</v>
      </c>
      <c r="V276" s="23" t="s">
        <v>59</v>
      </c>
      <c r="W276" s="22">
        <v>10</v>
      </c>
      <c r="X276" s="35" t="str">
        <f>HYPERLINK("https://www.alpinabook.ru/catalog/book-poka-mne-ne-ispolnilos-30","ссылка на книгу")</f>
        <v>ссылка на книгу</v>
      </c>
      <c r="Y276" s="36" t="str">
        <f>HYPERLINK("https://api-enni.alpina.ru/FilePrivilegesApproval/128","https://api-enni.alpina.ru/FilePrivilegesApproval/128")</f>
        <v>https://api-enni.alpina.ru/FilePrivilegesApproval/128</v>
      </c>
      <c r="Z276" s="23" t="s">
        <v>374</v>
      </c>
      <c r="AT276" s="1">
        <f t="shared" si="35"/>
        <v>0</v>
      </c>
      <c r="AU276" s="1">
        <f t="shared" si="36"/>
        <v>0</v>
      </c>
      <c r="AV276" s="1">
        <f t="shared" si="37"/>
        <v>0</v>
      </c>
      <c r="AW276" s="1">
        <f t="shared" si="38"/>
        <v>0</v>
      </c>
      <c r="AX276" s="1">
        <f t="shared" si="39"/>
        <v>0</v>
      </c>
    </row>
    <row r="277" spans="1:50" s="1" customFormat="1" ht="24.95" customHeight="1" outlineLevel="3" x14ac:dyDescent="0.2">
      <c r="A277" s="21"/>
      <c r="B277" s="22">
        <v>840</v>
      </c>
      <c r="C277" s="25">
        <v>1290</v>
      </c>
      <c r="D277" s="22">
        <v>3510</v>
      </c>
      <c r="E277" s="23" t="s">
        <v>929</v>
      </c>
      <c r="F277" s="23" t="s">
        <v>930</v>
      </c>
      <c r="G277" s="23" t="s">
        <v>86</v>
      </c>
      <c r="H277" s="23" t="s">
        <v>40</v>
      </c>
      <c r="I277" s="22">
        <v>2025</v>
      </c>
      <c r="J277" s="23" t="s">
        <v>931</v>
      </c>
      <c r="K277" s="22">
        <v>9785916718577</v>
      </c>
      <c r="L277" s="23" t="s">
        <v>932</v>
      </c>
      <c r="M277" s="22">
        <v>461</v>
      </c>
      <c r="N277" s="24">
        <v>0.55000000000000004</v>
      </c>
      <c r="O277" s="22">
        <v>146</v>
      </c>
      <c r="P277" s="22">
        <v>216</v>
      </c>
      <c r="Q277" s="22">
        <v>10</v>
      </c>
      <c r="R277" s="23" t="s">
        <v>43</v>
      </c>
      <c r="S277" s="23"/>
      <c r="T277" s="25">
        <v>5000</v>
      </c>
      <c r="U277" s="23" t="s">
        <v>52</v>
      </c>
      <c r="V277" s="23" t="s">
        <v>59</v>
      </c>
      <c r="W277" s="22">
        <v>10</v>
      </c>
      <c r="X277" s="35" t="str">
        <f>HYPERLINK("https://www.alpinabook.ru/catalog/book-potok","ссылка на книгу")</f>
        <v>ссылка на книгу</v>
      </c>
      <c r="Y277" s="36" t="str">
        <f>HYPERLINK("https://api-enni.alpina.ru/FilePrivilegesApproval/149","https://api-enni.alpina.ru/FilePrivilegesApproval/149")</f>
        <v>https://api-enni.alpina.ru/FilePrivilegesApproval/149</v>
      </c>
      <c r="Z277" s="23"/>
      <c r="AT277" s="1">
        <f t="shared" si="35"/>
        <v>0</v>
      </c>
      <c r="AU277" s="1">
        <f t="shared" si="36"/>
        <v>0</v>
      </c>
      <c r="AV277" s="1">
        <f t="shared" si="37"/>
        <v>0</v>
      </c>
      <c r="AW277" s="1">
        <f t="shared" si="38"/>
        <v>0</v>
      </c>
      <c r="AX277" s="1">
        <f t="shared" si="39"/>
        <v>0</v>
      </c>
    </row>
    <row r="278" spans="1:50" s="1" customFormat="1" ht="24.95" customHeight="1" outlineLevel="3" x14ac:dyDescent="0.2">
      <c r="A278" s="21"/>
      <c r="B278" s="22">
        <v>740</v>
      </c>
      <c r="C278" s="25">
        <v>1090</v>
      </c>
      <c r="D278" s="22">
        <v>2931</v>
      </c>
      <c r="E278" s="23" t="s">
        <v>929</v>
      </c>
      <c r="F278" s="23" t="s">
        <v>933</v>
      </c>
      <c r="G278" s="23" t="s">
        <v>86</v>
      </c>
      <c r="H278" s="23" t="s">
        <v>40</v>
      </c>
      <c r="I278" s="22">
        <v>2024</v>
      </c>
      <c r="J278" s="23" t="s">
        <v>934</v>
      </c>
      <c r="K278" s="22">
        <v>9785916718881</v>
      </c>
      <c r="L278" s="23" t="s">
        <v>935</v>
      </c>
      <c r="M278" s="22">
        <v>461</v>
      </c>
      <c r="N278" s="24">
        <v>0.47</v>
      </c>
      <c r="O278" s="22">
        <v>141</v>
      </c>
      <c r="P278" s="22">
        <v>210</v>
      </c>
      <c r="Q278" s="22">
        <v>12</v>
      </c>
      <c r="R278" s="23" t="s">
        <v>43</v>
      </c>
      <c r="S278" s="23"/>
      <c r="T278" s="25">
        <v>10000</v>
      </c>
      <c r="U278" s="23" t="s">
        <v>44</v>
      </c>
      <c r="V278" s="23" t="s">
        <v>59</v>
      </c>
      <c r="W278" s="22">
        <v>10</v>
      </c>
      <c r="X278" s="35" t="str">
        <f>HYPERLINK("https://www.alpinabook.ru/catalog/book-potok","ссылка на книгу")</f>
        <v>ссылка на книгу</v>
      </c>
      <c r="Y278" s="36" t="str">
        <f>HYPERLINK("https://api-enni.alpina.ru/FilePrivilegesApproval/131","https://api-enni.alpina.ru/FilePrivilegesApproval/131")</f>
        <v>https://api-enni.alpina.ru/FilePrivilegesApproval/131</v>
      </c>
      <c r="Z278" s="23"/>
      <c r="AT278" s="1">
        <f t="shared" si="35"/>
        <v>0</v>
      </c>
      <c r="AU278" s="1">
        <f t="shared" si="36"/>
        <v>0</v>
      </c>
      <c r="AV278" s="1">
        <f t="shared" si="37"/>
        <v>0</v>
      </c>
      <c r="AW278" s="1">
        <f t="shared" si="38"/>
        <v>0</v>
      </c>
      <c r="AX278" s="1">
        <f t="shared" si="39"/>
        <v>0</v>
      </c>
    </row>
    <row r="279" spans="1:50" s="1" customFormat="1" ht="24.95" customHeight="1" outlineLevel="3" x14ac:dyDescent="0.2">
      <c r="A279" s="21"/>
      <c r="B279" s="22">
        <v>690</v>
      </c>
      <c r="C279" s="22">
        <v>990</v>
      </c>
      <c r="D279" s="22">
        <v>18583</v>
      </c>
      <c r="E279" s="23" t="s">
        <v>60</v>
      </c>
      <c r="F279" s="23" t="s">
        <v>936</v>
      </c>
      <c r="G279" s="23" t="s">
        <v>56</v>
      </c>
      <c r="H279" s="23"/>
      <c r="I279" s="22">
        <v>2024</v>
      </c>
      <c r="J279" s="23" t="s">
        <v>937</v>
      </c>
      <c r="K279" s="22">
        <v>9785961474336</v>
      </c>
      <c r="L279" s="23" t="s">
        <v>938</v>
      </c>
      <c r="M279" s="22">
        <v>238</v>
      </c>
      <c r="N279" s="24">
        <v>0.56000000000000005</v>
      </c>
      <c r="O279" s="22">
        <v>170</v>
      </c>
      <c r="P279" s="22">
        <v>230</v>
      </c>
      <c r="Q279" s="22">
        <v>7</v>
      </c>
      <c r="R279" s="23" t="s">
        <v>100</v>
      </c>
      <c r="S279" s="23"/>
      <c r="T279" s="25">
        <v>1500</v>
      </c>
      <c r="U279" s="23" t="s">
        <v>268</v>
      </c>
      <c r="V279" s="23" t="s">
        <v>64</v>
      </c>
      <c r="W279" s="22">
        <v>10</v>
      </c>
      <c r="X279" s="35" t="str">
        <f>HYPERLINK("https://www.alpinabook.ru/catalog/book-restart-2-0","ссылка на книгу")</f>
        <v>ссылка на книгу</v>
      </c>
      <c r="Y279" s="36" t="str">
        <f>HYPERLINK("https://api-enni.alpina.ru/FilePrivilegesApproval/121","https://api-enni.alpina.ru/FilePrivilegesApproval/121")</f>
        <v>https://api-enni.alpina.ru/FilePrivilegesApproval/121</v>
      </c>
      <c r="Z279" s="23"/>
      <c r="AT279" s="1">
        <f t="shared" si="35"/>
        <v>0</v>
      </c>
      <c r="AU279" s="1">
        <f t="shared" si="36"/>
        <v>0</v>
      </c>
      <c r="AV279" s="1">
        <f t="shared" si="37"/>
        <v>0</v>
      </c>
      <c r="AW279" s="1">
        <f t="shared" si="38"/>
        <v>0</v>
      </c>
      <c r="AX279" s="1">
        <f t="shared" si="39"/>
        <v>0</v>
      </c>
    </row>
    <row r="280" spans="1:50" s="1" customFormat="1" ht="24.95" customHeight="1" outlineLevel="3" x14ac:dyDescent="0.2">
      <c r="A280" s="21"/>
      <c r="B280" s="22">
        <v>290</v>
      </c>
      <c r="C280" s="22">
        <v>440</v>
      </c>
      <c r="D280" s="22">
        <v>27560</v>
      </c>
      <c r="E280" s="23" t="s">
        <v>60</v>
      </c>
      <c r="F280" s="23" t="s">
        <v>939</v>
      </c>
      <c r="G280" s="23" t="s">
        <v>56</v>
      </c>
      <c r="H280" s="23"/>
      <c r="I280" s="22">
        <v>2024</v>
      </c>
      <c r="J280" s="23" t="s">
        <v>940</v>
      </c>
      <c r="K280" s="22">
        <v>9785961485622</v>
      </c>
      <c r="L280" s="23" t="s">
        <v>941</v>
      </c>
      <c r="M280" s="22">
        <v>189</v>
      </c>
      <c r="N280" s="24">
        <v>0.13</v>
      </c>
      <c r="O280" s="22">
        <v>120</v>
      </c>
      <c r="P280" s="22">
        <v>170</v>
      </c>
      <c r="Q280" s="22">
        <v>22</v>
      </c>
      <c r="R280" s="23" t="s">
        <v>75</v>
      </c>
      <c r="S280" s="23" t="s">
        <v>253</v>
      </c>
      <c r="T280" s="25">
        <v>2000</v>
      </c>
      <c r="U280" s="23" t="s">
        <v>44</v>
      </c>
      <c r="V280" s="23" t="s">
        <v>64</v>
      </c>
      <c r="W280" s="22">
        <v>10</v>
      </c>
      <c r="X280" s="35" t="str">
        <f>HYPERLINK("https://www.alpinabook.ru/catalog/book-restart-kak-prozhit-mnogo-zhizney","ссылка на книгу")</f>
        <v>ссылка на книгу</v>
      </c>
      <c r="Y280" s="36" t="str">
        <f>HYPERLINK("https://api-enni.alpina.ru/FilePrivilegesApproval/202","https://api-enni.alpina.ru/FilePrivilegesApproval/202")</f>
        <v>https://api-enni.alpina.ru/FilePrivilegesApproval/202</v>
      </c>
      <c r="Z280" s="23"/>
      <c r="AT280" s="1">
        <f t="shared" si="35"/>
        <v>0</v>
      </c>
      <c r="AU280" s="1">
        <f t="shared" si="36"/>
        <v>0</v>
      </c>
      <c r="AV280" s="1">
        <f t="shared" si="37"/>
        <v>0</v>
      </c>
      <c r="AW280" s="1">
        <f t="shared" si="38"/>
        <v>0</v>
      </c>
      <c r="AX280" s="1">
        <f t="shared" si="39"/>
        <v>0</v>
      </c>
    </row>
    <row r="281" spans="1:50" s="1" customFormat="1" ht="24.95" customHeight="1" outlineLevel="3" x14ac:dyDescent="0.2">
      <c r="A281" s="21"/>
      <c r="B281" s="22">
        <v>630</v>
      </c>
      <c r="C281" s="22">
        <v>890</v>
      </c>
      <c r="D281" s="22">
        <v>18992</v>
      </c>
      <c r="E281" s="23" t="s">
        <v>60</v>
      </c>
      <c r="F281" s="23" t="s">
        <v>942</v>
      </c>
      <c r="G281" s="23" t="s">
        <v>56</v>
      </c>
      <c r="H281" s="23"/>
      <c r="I281" s="22">
        <v>2023</v>
      </c>
      <c r="J281" s="23" t="s">
        <v>943</v>
      </c>
      <c r="K281" s="22">
        <v>9785961438376</v>
      </c>
      <c r="L281" s="23" t="s">
        <v>944</v>
      </c>
      <c r="M281" s="22">
        <v>189</v>
      </c>
      <c r="N281" s="24">
        <v>0.38</v>
      </c>
      <c r="O281" s="22">
        <v>166</v>
      </c>
      <c r="P281" s="22">
        <v>220</v>
      </c>
      <c r="Q281" s="22">
        <v>10</v>
      </c>
      <c r="R281" s="23" t="s">
        <v>100</v>
      </c>
      <c r="S281" s="23"/>
      <c r="T281" s="25">
        <v>5000</v>
      </c>
      <c r="U281" s="23" t="s">
        <v>52</v>
      </c>
      <c r="V281" s="23" t="s">
        <v>64</v>
      </c>
      <c r="W281" s="22">
        <v>10</v>
      </c>
      <c r="X281" s="35" t="str">
        <f>HYPERLINK("https://www.alpinabook.ru/catalog/book-restart-kak-prozhit-mnogo-zhizney","ссылка на книгу")</f>
        <v>ссылка на книгу</v>
      </c>
      <c r="Y281" s="36" t="str">
        <f>HYPERLINK("https://api-enni.alpina.ru/FilePrivilegesApproval/125","https://api-enni.alpina.ru/FilePrivilegesApproval/125")</f>
        <v>https://api-enni.alpina.ru/FilePrivilegesApproval/125</v>
      </c>
      <c r="Z281" s="23"/>
      <c r="AT281" s="1">
        <f t="shared" si="35"/>
        <v>0</v>
      </c>
      <c r="AU281" s="1">
        <f t="shared" si="36"/>
        <v>0</v>
      </c>
      <c r="AV281" s="1">
        <f t="shared" si="37"/>
        <v>0</v>
      </c>
      <c r="AW281" s="1">
        <f t="shared" si="38"/>
        <v>0</v>
      </c>
      <c r="AX281" s="1">
        <f t="shared" si="39"/>
        <v>0</v>
      </c>
    </row>
    <row r="282" spans="1:50" s="1" customFormat="1" ht="24.95" customHeight="1" outlineLevel="3" x14ac:dyDescent="0.2">
      <c r="A282" s="21"/>
      <c r="B282" s="22">
        <v>290</v>
      </c>
      <c r="C282" s="22">
        <v>440</v>
      </c>
      <c r="D282" s="22">
        <v>27494</v>
      </c>
      <c r="E282" s="23" t="s">
        <v>945</v>
      </c>
      <c r="F282" s="23" t="s">
        <v>946</v>
      </c>
      <c r="G282" s="23" t="s">
        <v>56</v>
      </c>
      <c r="H282" s="23" t="s">
        <v>947</v>
      </c>
      <c r="I282" s="22">
        <v>2024</v>
      </c>
      <c r="J282" s="23" t="s">
        <v>948</v>
      </c>
      <c r="K282" s="22">
        <v>9785961485370</v>
      </c>
      <c r="L282" s="23" t="s">
        <v>949</v>
      </c>
      <c r="M282" s="22">
        <v>176</v>
      </c>
      <c r="N282" s="24">
        <v>0.19</v>
      </c>
      <c r="O282" s="22">
        <v>130</v>
      </c>
      <c r="P282" s="22">
        <v>200</v>
      </c>
      <c r="Q282" s="22">
        <v>24</v>
      </c>
      <c r="R282" s="23" t="s">
        <v>82</v>
      </c>
      <c r="S282" s="23" t="s">
        <v>950</v>
      </c>
      <c r="T282" s="25">
        <v>10000</v>
      </c>
      <c r="U282" s="23" t="s">
        <v>44</v>
      </c>
      <c r="V282" s="23" t="s">
        <v>64</v>
      </c>
      <c r="W282" s="22">
        <v>10</v>
      </c>
      <c r="X282" s="35" t="str">
        <f>HYPERLINK("https://www.alpinabook.ru/catalog/book-s-lyubovyu-k-sebe","ссылка на книгу")</f>
        <v>ссылка на книгу</v>
      </c>
      <c r="Y282" s="36" t="str">
        <f>HYPERLINK("https://api-enni.alpina.ru/FilePrivilegesApproval/124","https://api-enni.alpina.ru/FilePrivilegesApproval/124")</f>
        <v>https://api-enni.alpina.ru/FilePrivilegesApproval/124</v>
      </c>
      <c r="Z282" s="23"/>
      <c r="AT282" s="1">
        <f t="shared" si="35"/>
        <v>0</v>
      </c>
      <c r="AU282" s="1">
        <f t="shared" si="36"/>
        <v>0</v>
      </c>
      <c r="AV282" s="1">
        <f t="shared" si="37"/>
        <v>0</v>
      </c>
      <c r="AW282" s="1">
        <f t="shared" si="38"/>
        <v>0</v>
      </c>
      <c r="AX282" s="1">
        <f t="shared" si="39"/>
        <v>0</v>
      </c>
    </row>
    <row r="283" spans="1:50" s="1" customFormat="1" ht="24.95" customHeight="1" outlineLevel="3" x14ac:dyDescent="0.2">
      <c r="A283" s="21"/>
      <c r="B283" s="22">
        <v>730</v>
      </c>
      <c r="C283" s="25">
        <v>1090</v>
      </c>
      <c r="D283" s="22">
        <v>22334</v>
      </c>
      <c r="E283" s="23" t="s">
        <v>715</v>
      </c>
      <c r="F283" s="23" t="s">
        <v>716</v>
      </c>
      <c r="G283" s="23" t="s">
        <v>56</v>
      </c>
      <c r="H283" s="23" t="s">
        <v>40</v>
      </c>
      <c r="I283" s="22">
        <v>2025</v>
      </c>
      <c r="J283" s="23" t="s">
        <v>717</v>
      </c>
      <c r="K283" s="22">
        <v>9785961448092</v>
      </c>
      <c r="L283" s="23" t="s">
        <v>718</v>
      </c>
      <c r="M283" s="22">
        <v>488</v>
      </c>
      <c r="N283" s="24">
        <v>0.77</v>
      </c>
      <c r="O283" s="22">
        <v>170</v>
      </c>
      <c r="P283" s="22">
        <v>240</v>
      </c>
      <c r="Q283" s="22">
        <v>5</v>
      </c>
      <c r="R283" s="23" t="s">
        <v>94</v>
      </c>
      <c r="S283" s="23"/>
      <c r="T283" s="25">
        <v>10000</v>
      </c>
      <c r="U283" s="23" t="s">
        <v>44</v>
      </c>
      <c r="V283" s="23" t="s">
        <v>59</v>
      </c>
      <c r="W283" s="22">
        <v>10</v>
      </c>
      <c r="X283" s="35" t="str">
        <f>HYPERLINK("https://www.alpinabook.ru/catalog/book-7-navykov-yubileynoe-izdanie","ссылка на книгу")</f>
        <v>ссылка на книгу</v>
      </c>
      <c r="Y283" s="36" t="str">
        <f>HYPERLINK("https://api-enni.alpina.ru/FilePrivilegesApproval/177","https://api-enni.alpina.ru/FilePrivilegesApproval/177")</f>
        <v>https://api-enni.alpina.ru/FilePrivilegesApproval/177</v>
      </c>
      <c r="Z283" s="23" t="s">
        <v>142</v>
      </c>
      <c r="AT283" s="1">
        <f t="shared" si="35"/>
        <v>0</v>
      </c>
      <c r="AU283" s="1">
        <f t="shared" si="36"/>
        <v>0</v>
      </c>
      <c r="AV283" s="1">
        <f t="shared" si="37"/>
        <v>0</v>
      </c>
      <c r="AW283" s="1">
        <f t="shared" si="38"/>
        <v>0</v>
      </c>
      <c r="AX283" s="1">
        <f t="shared" si="39"/>
        <v>0</v>
      </c>
    </row>
    <row r="284" spans="1:50" s="1" customFormat="1" ht="24.95" customHeight="1" outlineLevel="3" x14ac:dyDescent="0.2">
      <c r="A284" s="21"/>
      <c r="B284" s="22">
        <v>590</v>
      </c>
      <c r="C284" s="22">
        <v>790</v>
      </c>
      <c r="D284" s="22">
        <v>28486</v>
      </c>
      <c r="E284" s="23" t="s">
        <v>124</v>
      </c>
      <c r="F284" s="23" t="s">
        <v>951</v>
      </c>
      <c r="G284" s="23" t="s">
        <v>56</v>
      </c>
      <c r="H284" s="23"/>
      <c r="I284" s="22">
        <v>2025</v>
      </c>
      <c r="J284" s="23" t="s">
        <v>952</v>
      </c>
      <c r="K284" s="22">
        <v>9785961489149</v>
      </c>
      <c r="L284" s="23" t="s">
        <v>953</v>
      </c>
      <c r="M284" s="22">
        <v>504</v>
      </c>
      <c r="N284" s="24">
        <v>0.69</v>
      </c>
      <c r="O284" s="22">
        <v>150</v>
      </c>
      <c r="P284" s="22">
        <v>220</v>
      </c>
      <c r="Q284" s="22">
        <v>8</v>
      </c>
      <c r="R284" s="23" t="s">
        <v>43</v>
      </c>
      <c r="S284" s="23"/>
      <c r="T284" s="25">
        <v>6000</v>
      </c>
      <c r="U284" s="23" t="s">
        <v>52</v>
      </c>
      <c r="V284" s="23" t="s">
        <v>45</v>
      </c>
      <c r="W284" s="22">
        <v>10</v>
      </c>
      <c r="X284" s="35" t="str">
        <f>HYPERLINK("https://www.alpinabook.ru/catalog/book-semya-chto-nado","ссылка на книгу")</f>
        <v>ссылка на книгу</v>
      </c>
      <c r="Y284" s="36" t="str">
        <f>HYPERLINK("https://api-enni.alpina.ru/FilePrivilegesApproval/315","https://api-enni.alpina.ru/FilePrivilegesApproval/315")</f>
        <v>https://api-enni.alpina.ru/FilePrivilegesApproval/315</v>
      </c>
      <c r="Z284" s="23" t="s">
        <v>954</v>
      </c>
      <c r="AT284" s="1">
        <f t="shared" si="35"/>
        <v>0</v>
      </c>
      <c r="AU284" s="1">
        <f t="shared" si="36"/>
        <v>0</v>
      </c>
      <c r="AV284" s="1">
        <f t="shared" si="37"/>
        <v>0</v>
      </c>
      <c r="AW284" s="1">
        <f t="shared" si="38"/>
        <v>0</v>
      </c>
      <c r="AX284" s="1">
        <f t="shared" si="39"/>
        <v>0</v>
      </c>
    </row>
    <row r="285" spans="1:50" s="1" customFormat="1" ht="24.95" customHeight="1" outlineLevel="3" x14ac:dyDescent="0.2">
      <c r="A285" s="21"/>
      <c r="B285" s="22">
        <v>490</v>
      </c>
      <c r="C285" s="22">
        <v>740</v>
      </c>
      <c r="D285" s="22">
        <v>1768</v>
      </c>
      <c r="E285" s="23" t="s">
        <v>727</v>
      </c>
      <c r="F285" s="23" t="s">
        <v>728</v>
      </c>
      <c r="G285" s="23" t="s">
        <v>86</v>
      </c>
      <c r="H285" s="23" t="s">
        <v>164</v>
      </c>
      <c r="I285" s="22">
        <v>2025</v>
      </c>
      <c r="J285" s="23" t="s">
        <v>729</v>
      </c>
      <c r="K285" s="22">
        <v>9785916718386</v>
      </c>
      <c r="L285" s="23" t="s">
        <v>730</v>
      </c>
      <c r="M285" s="22">
        <v>239</v>
      </c>
      <c r="N285" s="24">
        <v>0.21</v>
      </c>
      <c r="O285" s="22">
        <v>110</v>
      </c>
      <c r="P285" s="22">
        <v>170</v>
      </c>
      <c r="Q285" s="22">
        <v>20</v>
      </c>
      <c r="R285" s="23" t="s">
        <v>731</v>
      </c>
      <c r="S285" s="23"/>
      <c r="T285" s="25">
        <v>50000</v>
      </c>
      <c r="U285" s="23" t="s">
        <v>52</v>
      </c>
      <c r="V285" s="23" t="s">
        <v>45</v>
      </c>
      <c r="W285" s="22">
        <v>10</v>
      </c>
      <c r="X285" s="35" t="str">
        <f>HYPERLINK("https://www.alpinabook.ru/catalog/book-skazat-zhizni-da","ссылка на книгу")</f>
        <v>ссылка на книгу</v>
      </c>
      <c r="Y285" s="36" t="str">
        <f>HYPERLINK("https://api-enni.alpina.ru/FilePrivilegesApproval/146","https://api-enni.alpina.ru/FilePrivilegesApproval/146")</f>
        <v>https://api-enni.alpina.ru/FilePrivilegesApproval/146</v>
      </c>
      <c r="Z285" s="23" t="s">
        <v>732</v>
      </c>
      <c r="AT285" s="1">
        <f t="shared" si="35"/>
        <v>0</v>
      </c>
      <c r="AU285" s="1">
        <f t="shared" si="36"/>
        <v>0</v>
      </c>
      <c r="AV285" s="1">
        <f t="shared" si="37"/>
        <v>0</v>
      </c>
      <c r="AW285" s="1">
        <f t="shared" si="38"/>
        <v>0</v>
      </c>
      <c r="AX285" s="1">
        <f t="shared" si="39"/>
        <v>0</v>
      </c>
    </row>
    <row r="286" spans="1:50" s="1" customFormat="1" ht="24.95" customHeight="1" outlineLevel="3" x14ac:dyDescent="0.2">
      <c r="A286" s="21"/>
      <c r="B286" s="22">
        <v>780</v>
      </c>
      <c r="C286" s="25">
        <v>1190</v>
      </c>
      <c r="D286" s="22">
        <v>22840</v>
      </c>
      <c r="E286" s="23" t="s">
        <v>955</v>
      </c>
      <c r="F286" s="23" t="s">
        <v>956</v>
      </c>
      <c r="G286" s="23" t="s">
        <v>86</v>
      </c>
      <c r="H286" s="23" t="s">
        <v>40</v>
      </c>
      <c r="I286" s="22">
        <v>2023</v>
      </c>
      <c r="J286" s="23" t="s">
        <v>957</v>
      </c>
      <c r="K286" s="22">
        <v>9785001394600</v>
      </c>
      <c r="L286" s="23" t="s">
        <v>958</v>
      </c>
      <c r="M286" s="22">
        <v>540</v>
      </c>
      <c r="N286" s="24">
        <v>0.62</v>
      </c>
      <c r="O286" s="22">
        <v>150</v>
      </c>
      <c r="P286" s="22">
        <v>220</v>
      </c>
      <c r="Q286" s="22">
        <v>10</v>
      </c>
      <c r="R286" s="23" t="s">
        <v>43</v>
      </c>
      <c r="S286" s="23"/>
      <c r="T286" s="25">
        <v>2500</v>
      </c>
      <c r="U286" s="23" t="s">
        <v>52</v>
      </c>
      <c r="V286" s="23" t="s">
        <v>89</v>
      </c>
      <c r="W286" s="22">
        <v>10</v>
      </c>
      <c r="X286" s="35" t="str">
        <f>HYPERLINK("https://www.alpinabook.ru/catalog/book-superchuvstva","ссылка на книгу")</f>
        <v>ссылка на книгу</v>
      </c>
      <c r="Y286" s="36" t="str">
        <f>HYPERLINK("https://api-enni.alpina.ru/FilePrivilegesApproval/349","https://api-enni.alpina.ru/FilePrivilegesApproval/349")</f>
        <v>https://api-enni.alpina.ru/FilePrivilegesApproval/349</v>
      </c>
      <c r="Z286" s="23"/>
      <c r="AT286" s="1">
        <f t="shared" si="35"/>
        <v>0</v>
      </c>
      <c r="AU286" s="1">
        <f t="shared" si="36"/>
        <v>0</v>
      </c>
      <c r="AV286" s="1">
        <f t="shared" si="37"/>
        <v>0</v>
      </c>
      <c r="AW286" s="1">
        <f t="shared" si="38"/>
        <v>0</v>
      </c>
      <c r="AX286" s="1">
        <f t="shared" si="39"/>
        <v>0</v>
      </c>
    </row>
    <row r="287" spans="1:50" s="1" customFormat="1" ht="24.95" customHeight="1" outlineLevel="3" x14ac:dyDescent="0.2">
      <c r="A287" s="21"/>
      <c r="B287" s="22">
        <v>690</v>
      </c>
      <c r="C287" s="22">
        <v>940</v>
      </c>
      <c r="D287" s="22">
        <v>6995</v>
      </c>
      <c r="E287" s="23" t="s">
        <v>959</v>
      </c>
      <c r="F287" s="23" t="s">
        <v>960</v>
      </c>
      <c r="G287" s="23" t="s">
        <v>86</v>
      </c>
      <c r="H287" s="23"/>
      <c r="I287" s="22">
        <v>2024</v>
      </c>
      <c r="J287" s="23" t="s">
        <v>961</v>
      </c>
      <c r="K287" s="22">
        <v>9785916717822</v>
      </c>
      <c r="L287" s="23" t="s">
        <v>962</v>
      </c>
      <c r="M287" s="22">
        <v>229</v>
      </c>
      <c r="N287" s="24">
        <v>0.38</v>
      </c>
      <c r="O287" s="22">
        <v>146</v>
      </c>
      <c r="P287" s="22">
        <v>216</v>
      </c>
      <c r="Q287" s="22">
        <v>16</v>
      </c>
      <c r="R287" s="23" t="s">
        <v>43</v>
      </c>
      <c r="S287" s="23"/>
      <c r="T287" s="25">
        <v>3000</v>
      </c>
      <c r="U287" s="23" t="s">
        <v>52</v>
      </c>
      <c r="V287" s="23" t="s">
        <v>45</v>
      </c>
      <c r="W287" s="22">
        <v>10</v>
      </c>
      <c r="X287" s="35" t="str">
        <f>HYPERLINK("https://www.alpinabook.ru/catalog/book-telo-eda-seks","ссылка на книгу")</f>
        <v>ссылка на книгу</v>
      </c>
      <c r="Y287" s="36" t="str">
        <f>HYPERLINK("https://api-enni.alpina.ru/FilePrivilegesApproval/149","https://api-enni.alpina.ru/FilePrivilegesApproval/149")</f>
        <v>https://api-enni.alpina.ru/FilePrivilegesApproval/149</v>
      </c>
      <c r="Z287" s="23"/>
      <c r="AT287" s="1">
        <f t="shared" si="35"/>
        <v>0</v>
      </c>
      <c r="AU287" s="1">
        <f t="shared" si="36"/>
        <v>0</v>
      </c>
      <c r="AV287" s="1">
        <f t="shared" si="37"/>
        <v>0</v>
      </c>
      <c r="AW287" s="1">
        <f t="shared" si="38"/>
        <v>0</v>
      </c>
      <c r="AX287" s="1">
        <f t="shared" si="39"/>
        <v>0</v>
      </c>
    </row>
    <row r="288" spans="1:50" s="1" customFormat="1" ht="24.95" customHeight="1" outlineLevel="3" x14ac:dyDescent="0.2">
      <c r="A288" s="21"/>
      <c r="B288" s="22">
        <v>840</v>
      </c>
      <c r="C288" s="25">
        <v>1290</v>
      </c>
      <c r="D288" s="22">
        <v>15970</v>
      </c>
      <c r="E288" s="23" t="s">
        <v>760</v>
      </c>
      <c r="F288" s="23" t="s">
        <v>963</v>
      </c>
      <c r="G288" s="23" t="s">
        <v>56</v>
      </c>
      <c r="H288" s="23" t="s">
        <v>40</v>
      </c>
      <c r="I288" s="22">
        <v>2025</v>
      </c>
      <c r="J288" s="23" t="s">
        <v>964</v>
      </c>
      <c r="K288" s="22">
        <v>9785961447750</v>
      </c>
      <c r="L288" s="23" t="s">
        <v>965</v>
      </c>
      <c r="M288" s="22">
        <v>552</v>
      </c>
      <c r="N288" s="24">
        <v>0.55000000000000004</v>
      </c>
      <c r="O288" s="22">
        <v>140</v>
      </c>
      <c r="P288" s="22">
        <v>210</v>
      </c>
      <c r="Q288" s="22">
        <v>8</v>
      </c>
      <c r="R288" s="23" t="s">
        <v>43</v>
      </c>
      <c r="S288" s="23"/>
      <c r="T288" s="25">
        <v>5000</v>
      </c>
      <c r="U288" s="23" t="s">
        <v>44</v>
      </c>
      <c r="V288" s="23" t="s">
        <v>45</v>
      </c>
      <c r="W288" s="22">
        <v>10</v>
      </c>
      <c r="X288" s="35" t="str">
        <f>HYPERLINK("https://www.alpinabook.ru/catalog/book-terapiya-bespokoystva","ссылка на книгу")</f>
        <v>ссылка на книгу</v>
      </c>
      <c r="Y288" s="36" t="str">
        <f>HYPERLINK("https://api-enni.alpina.ru/FilePrivilegesApproval/141","https://api-enni.alpina.ru/FilePrivilegesApproval/141")</f>
        <v>https://api-enni.alpina.ru/FilePrivilegesApproval/141</v>
      </c>
      <c r="Z288" s="23" t="s">
        <v>277</v>
      </c>
      <c r="AT288" s="1">
        <f t="shared" si="35"/>
        <v>0</v>
      </c>
      <c r="AU288" s="1">
        <f t="shared" si="36"/>
        <v>0</v>
      </c>
      <c r="AV288" s="1">
        <f t="shared" si="37"/>
        <v>0</v>
      </c>
      <c r="AW288" s="1">
        <f t="shared" si="38"/>
        <v>0</v>
      </c>
      <c r="AX288" s="1">
        <f t="shared" si="39"/>
        <v>0</v>
      </c>
    </row>
    <row r="289" spans="1:50" s="1" customFormat="1" ht="24.95" customHeight="1" outlineLevel="3" x14ac:dyDescent="0.2">
      <c r="A289" s="21"/>
      <c r="B289" s="22">
        <v>840</v>
      </c>
      <c r="C289" s="25">
        <v>1290</v>
      </c>
      <c r="D289" s="22">
        <v>5626</v>
      </c>
      <c r="E289" s="23" t="s">
        <v>760</v>
      </c>
      <c r="F289" s="23" t="s">
        <v>761</v>
      </c>
      <c r="G289" s="23" t="s">
        <v>56</v>
      </c>
      <c r="H289" s="23" t="s">
        <v>40</v>
      </c>
      <c r="I289" s="22">
        <v>2024</v>
      </c>
      <c r="J289" s="23" t="s">
        <v>762</v>
      </c>
      <c r="K289" s="22">
        <v>9785961418194</v>
      </c>
      <c r="L289" s="23" t="s">
        <v>763</v>
      </c>
      <c r="M289" s="22">
        <v>550</v>
      </c>
      <c r="N289" s="24">
        <v>0.56000000000000005</v>
      </c>
      <c r="O289" s="22">
        <v>140</v>
      </c>
      <c r="P289" s="22">
        <v>210</v>
      </c>
      <c r="Q289" s="22">
        <v>8</v>
      </c>
      <c r="R289" s="23" t="s">
        <v>43</v>
      </c>
      <c r="S289" s="23"/>
      <c r="T289" s="25">
        <v>12000</v>
      </c>
      <c r="U289" s="23" t="s">
        <v>44</v>
      </c>
      <c r="V289" s="23" t="s">
        <v>45</v>
      </c>
      <c r="W289" s="22">
        <v>10</v>
      </c>
      <c r="X289" s="35" t="str">
        <f>HYPERLINK("https://www.alpinabook.ru/catalog/book-terapiya-nastroeniya","ссылка на книгу")</f>
        <v>ссылка на книгу</v>
      </c>
      <c r="Y289" s="36" t="str">
        <f>HYPERLINK("https://api-enni.alpina.ru/FilePrivilegesApproval/132","https://api-enni.alpina.ru/FilePrivilegesApproval/132")</f>
        <v>https://api-enni.alpina.ru/FilePrivilegesApproval/132</v>
      </c>
      <c r="Z289" s="23"/>
      <c r="AT289" s="1">
        <f t="shared" si="35"/>
        <v>0</v>
      </c>
      <c r="AU289" s="1">
        <f t="shared" si="36"/>
        <v>0</v>
      </c>
      <c r="AV289" s="1">
        <f t="shared" si="37"/>
        <v>0</v>
      </c>
      <c r="AW289" s="1">
        <f t="shared" si="38"/>
        <v>0</v>
      </c>
      <c r="AX289" s="1">
        <f t="shared" si="39"/>
        <v>0</v>
      </c>
    </row>
    <row r="290" spans="1:50" s="1" customFormat="1" ht="24.95" customHeight="1" outlineLevel="3" x14ac:dyDescent="0.2">
      <c r="A290" s="21"/>
      <c r="B290" s="22">
        <v>650</v>
      </c>
      <c r="C290" s="22">
        <v>940</v>
      </c>
      <c r="D290" s="22">
        <v>25047</v>
      </c>
      <c r="E290" s="23" t="s">
        <v>760</v>
      </c>
      <c r="F290" s="23" t="s">
        <v>966</v>
      </c>
      <c r="G290" s="23" t="s">
        <v>56</v>
      </c>
      <c r="H290" s="23" t="s">
        <v>40</v>
      </c>
      <c r="I290" s="22">
        <v>2025</v>
      </c>
      <c r="J290" s="23" t="s">
        <v>967</v>
      </c>
      <c r="K290" s="22">
        <v>9785961476729</v>
      </c>
      <c r="L290" s="23" t="s">
        <v>968</v>
      </c>
      <c r="M290" s="22">
        <v>328</v>
      </c>
      <c r="N290" s="24">
        <v>0.41</v>
      </c>
      <c r="O290" s="22">
        <v>140</v>
      </c>
      <c r="P290" s="22">
        <v>210</v>
      </c>
      <c r="Q290" s="22">
        <v>16</v>
      </c>
      <c r="R290" s="23" t="s">
        <v>43</v>
      </c>
      <c r="S290" s="23"/>
      <c r="T290" s="25">
        <v>3000</v>
      </c>
      <c r="U290" s="23" t="s">
        <v>44</v>
      </c>
      <c r="V290" s="23" t="s">
        <v>89</v>
      </c>
      <c r="W290" s="22">
        <v>10</v>
      </c>
      <c r="X290" s="35" t="str">
        <f>HYPERLINK("https://www.alpinabook.ru/catalog/book-terapiya-odinochestva","ссылка на книгу")</f>
        <v>ссылка на книгу</v>
      </c>
      <c r="Y290" s="36" t="str">
        <f>HYPERLINK("https://api-enni.alpina.ru/FilePrivilegesApproval/227","https://api-enni.alpina.ru/FilePrivilegesApproval/227")</f>
        <v>https://api-enni.alpina.ru/FilePrivilegesApproval/227</v>
      </c>
      <c r="Z290" s="23"/>
      <c r="AT290" s="1">
        <f t="shared" si="35"/>
        <v>0</v>
      </c>
      <c r="AU290" s="1">
        <f t="shared" si="36"/>
        <v>0</v>
      </c>
      <c r="AV290" s="1">
        <f t="shared" si="37"/>
        <v>0</v>
      </c>
      <c r="AW290" s="1">
        <f t="shared" si="38"/>
        <v>0</v>
      </c>
      <c r="AX290" s="1">
        <f t="shared" si="39"/>
        <v>0</v>
      </c>
    </row>
    <row r="291" spans="1:50" s="1" customFormat="1" ht="24.95" customHeight="1" outlineLevel="3" x14ac:dyDescent="0.2">
      <c r="A291" s="21"/>
      <c r="B291" s="22">
        <v>650</v>
      </c>
      <c r="C291" s="22">
        <v>890</v>
      </c>
      <c r="D291" s="22">
        <v>23275</v>
      </c>
      <c r="E291" s="23" t="s">
        <v>576</v>
      </c>
      <c r="F291" s="23" t="s">
        <v>969</v>
      </c>
      <c r="G291" s="23" t="s">
        <v>56</v>
      </c>
      <c r="H291" s="23" t="s">
        <v>40</v>
      </c>
      <c r="I291" s="22">
        <v>2025</v>
      </c>
      <c r="J291" s="23" t="s">
        <v>970</v>
      </c>
      <c r="K291" s="22">
        <v>9785961472196</v>
      </c>
      <c r="L291" s="23" t="s">
        <v>971</v>
      </c>
      <c r="M291" s="22">
        <v>192</v>
      </c>
      <c r="N291" s="24">
        <v>0.37</v>
      </c>
      <c r="O291" s="22">
        <v>150</v>
      </c>
      <c r="P291" s="22">
        <v>210</v>
      </c>
      <c r="Q291" s="22">
        <v>16</v>
      </c>
      <c r="R291" s="23" t="s">
        <v>43</v>
      </c>
      <c r="S291" s="23"/>
      <c r="T291" s="25">
        <v>6000</v>
      </c>
      <c r="U291" s="23" t="s">
        <v>52</v>
      </c>
      <c r="V291" s="23" t="s">
        <v>45</v>
      </c>
      <c r="W291" s="22">
        <v>10</v>
      </c>
      <c r="X291" s="35" t="str">
        <f>HYPERLINK("https://www.alpinabook.ru/catalog/book-tonkoe-iskusstvo-pofigizma","ссылка на книгу")</f>
        <v>ссылка на книгу</v>
      </c>
      <c r="Y291" s="36" t="str">
        <f>HYPERLINK("https://api-enni.alpina.ru/FilePrivilegesApproval/140","https://api-enni.alpina.ru/FilePrivilegesApproval/140")</f>
        <v>https://api-enni.alpina.ru/FilePrivilegesApproval/140</v>
      </c>
      <c r="Z291" s="23"/>
      <c r="AT291" s="1">
        <f t="shared" si="35"/>
        <v>0</v>
      </c>
      <c r="AU291" s="1">
        <f t="shared" si="36"/>
        <v>0</v>
      </c>
      <c r="AV291" s="1">
        <f t="shared" si="37"/>
        <v>0</v>
      </c>
      <c r="AW291" s="1">
        <f t="shared" si="38"/>
        <v>0</v>
      </c>
      <c r="AX291" s="1">
        <f t="shared" si="39"/>
        <v>0</v>
      </c>
    </row>
    <row r="292" spans="1:50" s="1" customFormat="1" ht="24.95" customHeight="1" outlineLevel="3" x14ac:dyDescent="0.2">
      <c r="A292" s="21"/>
      <c r="B292" s="22">
        <v>550</v>
      </c>
      <c r="C292" s="22">
        <v>790</v>
      </c>
      <c r="D292" s="22">
        <v>6922</v>
      </c>
      <c r="E292" s="23" t="s">
        <v>576</v>
      </c>
      <c r="F292" s="23" t="s">
        <v>768</v>
      </c>
      <c r="G292" s="23" t="s">
        <v>56</v>
      </c>
      <c r="H292" s="23" t="s">
        <v>40</v>
      </c>
      <c r="I292" s="22">
        <v>2025</v>
      </c>
      <c r="J292" s="23" t="s">
        <v>769</v>
      </c>
      <c r="K292" s="22">
        <v>9785961465358</v>
      </c>
      <c r="L292" s="23" t="s">
        <v>770</v>
      </c>
      <c r="M292" s="22">
        <v>192</v>
      </c>
      <c r="N292" s="24">
        <v>0.28000000000000003</v>
      </c>
      <c r="O292" s="22">
        <v>140</v>
      </c>
      <c r="P292" s="22">
        <v>195</v>
      </c>
      <c r="Q292" s="22">
        <v>12</v>
      </c>
      <c r="R292" s="23" t="s">
        <v>43</v>
      </c>
      <c r="S292" s="23"/>
      <c r="T292" s="25">
        <v>20000</v>
      </c>
      <c r="U292" s="23" t="s">
        <v>44</v>
      </c>
      <c r="V292" s="23" t="s">
        <v>45</v>
      </c>
      <c r="W292" s="22">
        <v>10</v>
      </c>
      <c r="X292" s="35" t="str">
        <f>HYPERLINK("https://www.alpinabook.ru/catalog/book-tonkoe-iskusstvo-pofigizma","ссылка на книгу")</f>
        <v>ссылка на книгу</v>
      </c>
      <c r="Y292" s="36" t="str">
        <f>HYPERLINK("https://api-enni.alpina.ru/FilePrivilegesApproval/152","https://api-enni.alpina.ru/FilePrivilegesApproval/152")</f>
        <v>https://api-enni.alpina.ru/FilePrivilegesApproval/152</v>
      </c>
      <c r="Z292" s="23" t="s">
        <v>545</v>
      </c>
      <c r="AT292" s="1">
        <f t="shared" si="35"/>
        <v>0</v>
      </c>
      <c r="AU292" s="1">
        <f t="shared" si="36"/>
        <v>0</v>
      </c>
      <c r="AV292" s="1">
        <f t="shared" si="37"/>
        <v>0</v>
      </c>
      <c r="AW292" s="1">
        <f t="shared" si="38"/>
        <v>0</v>
      </c>
      <c r="AX292" s="1">
        <f t="shared" si="39"/>
        <v>0</v>
      </c>
    </row>
    <row r="293" spans="1:50" s="1" customFormat="1" ht="24.95" customHeight="1" outlineLevel="3" x14ac:dyDescent="0.2">
      <c r="A293" s="21"/>
      <c r="B293" s="22">
        <v>490</v>
      </c>
      <c r="C293" s="22">
        <v>690</v>
      </c>
      <c r="D293" s="22">
        <v>11675</v>
      </c>
      <c r="E293" s="23" t="s">
        <v>771</v>
      </c>
      <c r="F293" s="23" t="s">
        <v>776</v>
      </c>
      <c r="G293" s="23" t="s">
        <v>56</v>
      </c>
      <c r="H293" s="23" t="s">
        <v>40</v>
      </c>
      <c r="I293" s="22">
        <v>2024</v>
      </c>
      <c r="J293" s="23" t="s">
        <v>777</v>
      </c>
      <c r="K293" s="22">
        <v>9785961424584</v>
      </c>
      <c r="L293" s="23" t="s">
        <v>778</v>
      </c>
      <c r="M293" s="22">
        <v>192</v>
      </c>
      <c r="N293" s="24">
        <v>0.28000000000000003</v>
      </c>
      <c r="O293" s="22">
        <v>141</v>
      </c>
      <c r="P293" s="22">
        <v>210</v>
      </c>
      <c r="Q293" s="22">
        <v>20</v>
      </c>
      <c r="R293" s="23" t="s">
        <v>43</v>
      </c>
      <c r="S293" s="23" t="s">
        <v>779</v>
      </c>
      <c r="T293" s="25">
        <v>20000</v>
      </c>
      <c r="U293" s="23" t="s">
        <v>44</v>
      </c>
      <c r="V293" s="23" t="s">
        <v>269</v>
      </c>
      <c r="W293" s="22">
        <v>10</v>
      </c>
      <c r="X293" s="35" t="str">
        <f>HYPERLINK("https://www.alpinabook.ru/catalog/book-trenazher-pamyati","ссылка на книгу")</f>
        <v>ссылка на книгу</v>
      </c>
      <c r="Y293" s="36" t="str">
        <f>HYPERLINK("https://api-enni.alpina.ru/FilePrivilegesApproval/158","https://api-enni.alpina.ru/FilePrivilegesApproval/158")</f>
        <v>https://api-enni.alpina.ru/FilePrivilegesApproval/158</v>
      </c>
      <c r="Z293" s="23"/>
      <c r="AT293" s="1">
        <f t="shared" si="35"/>
        <v>0</v>
      </c>
      <c r="AU293" s="1">
        <f t="shared" si="36"/>
        <v>0</v>
      </c>
      <c r="AV293" s="1">
        <f t="shared" si="37"/>
        <v>0</v>
      </c>
      <c r="AW293" s="1">
        <f t="shared" si="38"/>
        <v>0</v>
      </c>
      <c r="AX293" s="1">
        <f t="shared" si="39"/>
        <v>0</v>
      </c>
    </row>
    <row r="294" spans="1:50" s="1" customFormat="1" ht="24.95" customHeight="1" outlineLevel="3" x14ac:dyDescent="0.2">
      <c r="A294" s="21"/>
      <c r="B294" s="22">
        <v>540</v>
      </c>
      <c r="C294" s="22">
        <v>790</v>
      </c>
      <c r="D294" s="22">
        <v>25680</v>
      </c>
      <c r="E294" s="23" t="s">
        <v>60</v>
      </c>
      <c r="F294" s="23" t="s">
        <v>972</v>
      </c>
      <c r="G294" s="23" t="s">
        <v>56</v>
      </c>
      <c r="H294" s="23"/>
      <c r="I294" s="22">
        <v>2024</v>
      </c>
      <c r="J294" s="23" t="s">
        <v>973</v>
      </c>
      <c r="K294" s="22">
        <v>9785961474541</v>
      </c>
      <c r="L294" s="23" t="s">
        <v>974</v>
      </c>
      <c r="M294" s="22">
        <v>208</v>
      </c>
      <c r="N294" s="24">
        <v>0.33</v>
      </c>
      <c r="O294" s="22">
        <v>140</v>
      </c>
      <c r="P294" s="22">
        <v>210</v>
      </c>
      <c r="Q294" s="22">
        <v>18</v>
      </c>
      <c r="R294" s="23" t="s">
        <v>43</v>
      </c>
      <c r="S294" s="23"/>
      <c r="T294" s="25">
        <v>3000</v>
      </c>
      <c r="U294" s="23" t="s">
        <v>44</v>
      </c>
      <c r="V294" s="23" t="s">
        <v>45</v>
      </c>
      <c r="W294" s="22">
        <v>10</v>
      </c>
      <c r="X294" s="35" t="str">
        <f>HYPERLINK("https://www.alpinabook.ru/catalog/book-chillosofiya","ссылка на книгу")</f>
        <v>ссылка на книгу</v>
      </c>
      <c r="Y294" s="36" t="str">
        <f>HYPERLINK("https://api-enni.alpina.ru/FilePrivilegesApproval/307","https://api-enni.alpina.ru/FilePrivilegesApproval/307")</f>
        <v>https://api-enni.alpina.ru/FilePrivilegesApproval/307</v>
      </c>
      <c r="Z294" s="23"/>
      <c r="AT294" s="1">
        <f t="shared" si="35"/>
        <v>0</v>
      </c>
      <c r="AU294" s="1">
        <f t="shared" si="36"/>
        <v>0</v>
      </c>
      <c r="AV294" s="1">
        <f t="shared" si="37"/>
        <v>0</v>
      </c>
      <c r="AW294" s="1">
        <f t="shared" si="38"/>
        <v>0</v>
      </c>
      <c r="AX294" s="1">
        <f t="shared" si="39"/>
        <v>0</v>
      </c>
    </row>
    <row r="295" spans="1:50" s="1" customFormat="1" ht="24.95" customHeight="1" outlineLevel="3" x14ac:dyDescent="0.2">
      <c r="A295" s="21"/>
      <c r="B295" s="22">
        <v>640</v>
      </c>
      <c r="C295" s="22">
        <v>940</v>
      </c>
      <c r="D295" s="22">
        <v>29995</v>
      </c>
      <c r="E295" s="23" t="s">
        <v>60</v>
      </c>
      <c r="F295" s="23" t="s">
        <v>972</v>
      </c>
      <c r="G295" s="23" t="s">
        <v>56</v>
      </c>
      <c r="H295" s="23"/>
      <c r="I295" s="22">
        <v>2024</v>
      </c>
      <c r="J295" s="23" t="s">
        <v>975</v>
      </c>
      <c r="K295" s="22">
        <v>9785961494532</v>
      </c>
      <c r="L295" s="23" t="s">
        <v>976</v>
      </c>
      <c r="M295" s="22">
        <v>208</v>
      </c>
      <c r="N295" s="24">
        <v>0.41</v>
      </c>
      <c r="O295" s="22">
        <v>150</v>
      </c>
      <c r="P295" s="22">
        <v>220</v>
      </c>
      <c r="Q295" s="22">
        <v>14</v>
      </c>
      <c r="R295" s="23" t="s">
        <v>43</v>
      </c>
      <c r="S295" s="23"/>
      <c r="T295" s="25">
        <v>3000</v>
      </c>
      <c r="U295" s="23" t="s">
        <v>52</v>
      </c>
      <c r="V295" s="23" t="s">
        <v>45</v>
      </c>
      <c r="W295" s="22">
        <v>10</v>
      </c>
      <c r="X295" s="35" t="str">
        <f>HYPERLINK("https://www.alpinabook.ru/catalog/book-chillosofiya","ссылка на книгу")</f>
        <v>ссылка на книгу</v>
      </c>
      <c r="Y295" s="36" t="str">
        <f>HYPERLINK("https://api-enni.alpina.ru/FilePrivilegesApproval/307","https://api-enni.alpina.ru/FilePrivilegesApproval/307")</f>
        <v>https://api-enni.alpina.ru/FilePrivilegesApproval/307</v>
      </c>
      <c r="Z295" s="23"/>
      <c r="AT295" s="1">
        <f t="shared" si="35"/>
        <v>0</v>
      </c>
      <c r="AU295" s="1">
        <f t="shared" si="36"/>
        <v>0</v>
      </c>
      <c r="AV295" s="1">
        <f t="shared" si="37"/>
        <v>0</v>
      </c>
      <c r="AW295" s="1">
        <f t="shared" si="38"/>
        <v>0</v>
      </c>
      <c r="AX295" s="1">
        <f t="shared" si="39"/>
        <v>0</v>
      </c>
    </row>
    <row r="296" spans="1:50" s="1" customFormat="1" ht="24.95" customHeight="1" outlineLevel="3" x14ac:dyDescent="0.2">
      <c r="A296" s="21"/>
      <c r="B296" s="22">
        <v>840</v>
      </c>
      <c r="C296" s="25">
        <v>1290</v>
      </c>
      <c r="D296" s="22">
        <v>8035</v>
      </c>
      <c r="E296" s="23" t="s">
        <v>827</v>
      </c>
      <c r="F296" s="23" t="s">
        <v>828</v>
      </c>
      <c r="G296" s="23" t="s">
        <v>56</v>
      </c>
      <c r="H296" s="23"/>
      <c r="I296" s="22">
        <v>2025</v>
      </c>
      <c r="J296" s="23" t="s">
        <v>829</v>
      </c>
      <c r="K296" s="22">
        <v>9785961465419</v>
      </c>
      <c r="L296" s="23" t="s">
        <v>830</v>
      </c>
      <c r="M296" s="22">
        <v>376</v>
      </c>
      <c r="N296" s="24">
        <v>0.56999999999999995</v>
      </c>
      <c r="O296" s="22">
        <v>140</v>
      </c>
      <c r="P296" s="22">
        <v>210</v>
      </c>
      <c r="Q296" s="22">
        <v>8</v>
      </c>
      <c r="R296" s="23" t="s">
        <v>43</v>
      </c>
      <c r="S296" s="23"/>
      <c r="T296" s="25">
        <v>7000</v>
      </c>
      <c r="U296" s="23" t="s">
        <v>44</v>
      </c>
      <c r="V296" s="23" t="s">
        <v>59</v>
      </c>
      <c r="W296" s="22">
        <v>10</v>
      </c>
      <c r="X296" s="35" t="str">
        <f>HYPERLINK("https://www.alpinabook.ru/catalog/book-ya-manipuliruyu-toboy","ссылка на книгу")</f>
        <v>ссылка на книгу</v>
      </c>
      <c r="Y296" s="36" t="str">
        <f>HYPERLINK("https://api-enni.alpina.ru/FilePrivilegesApproval/152","https://api-enni.alpina.ru/FilePrivilegesApproval/152")</f>
        <v>https://api-enni.alpina.ru/FilePrivilegesApproval/152</v>
      </c>
      <c r="Z296" s="23" t="s">
        <v>775</v>
      </c>
      <c r="AT296" s="1">
        <f t="shared" si="35"/>
        <v>0</v>
      </c>
      <c r="AU296" s="1">
        <f t="shared" si="36"/>
        <v>0</v>
      </c>
      <c r="AV296" s="1">
        <f t="shared" si="37"/>
        <v>0</v>
      </c>
      <c r="AW296" s="1">
        <f t="shared" si="38"/>
        <v>0</v>
      </c>
      <c r="AX296" s="1">
        <f t="shared" si="39"/>
        <v>0</v>
      </c>
    </row>
    <row r="297" spans="1:50" s="1" customFormat="1" ht="24.95" customHeight="1" outlineLevel="3" x14ac:dyDescent="0.2">
      <c r="A297" s="21"/>
      <c r="B297" s="22">
        <v>490</v>
      </c>
      <c r="C297" s="22">
        <v>740</v>
      </c>
      <c r="D297" s="22">
        <v>27790</v>
      </c>
      <c r="E297" s="23" t="s">
        <v>977</v>
      </c>
      <c r="F297" s="23" t="s">
        <v>978</v>
      </c>
      <c r="G297" s="23" t="s">
        <v>56</v>
      </c>
      <c r="H297" s="23"/>
      <c r="I297" s="22">
        <v>2025</v>
      </c>
      <c r="J297" s="23" t="s">
        <v>979</v>
      </c>
      <c r="K297" s="22">
        <v>9785961486407</v>
      </c>
      <c r="L297" s="23" t="s">
        <v>980</v>
      </c>
      <c r="M297" s="22">
        <v>200</v>
      </c>
      <c r="N297" s="24">
        <v>0.25</v>
      </c>
      <c r="O297" s="22">
        <v>140</v>
      </c>
      <c r="P297" s="22">
        <v>210</v>
      </c>
      <c r="Q297" s="22">
        <v>22</v>
      </c>
      <c r="R297" s="23" t="s">
        <v>43</v>
      </c>
      <c r="S297" s="23"/>
      <c r="T297" s="25">
        <v>2000</v>
      </c>
      <c r="U297" s="23" t="s">
        <v>44</v>
      </c>
      <c r="V297" s="23" t="s">
        <v>59</v>
      </c>
      <c r="W297" s="22">
        <v>10</v>
      </c>
      <c r="X297" s="35" t="str">
        <f>HYPERLINK("https://www.alpinabook.ru/catalog/book-ya-sprashivayu-mne-otvechayut","ссылка на книгу")</f>
        <v>ссылка на книгу</v>
      </c>
      <c r="Y297" s="36" t="str">
        <f>HYPERLINK("https://api-enni.alpina.ru/FilePrivilegesApproval/284","https://api-enni.alpina.ru/FilePrivilegesApproval/284")</f>
        <v>https://api-enni.alpina.ru/FilePrivilegesApproval/284</v>
      </c>
      <c r="Z297" s="23" t="s">
        <v>77</v>
      </c>
      <c r="AT297" s="1">
        <f t="shared" si="35"/>
        <v>0</v>
      </c>
      <c r="AU297" s="1">
        <f t="shared" si="36"/>
        <v>0</v>
      </c>
      <c r="AV297" s="1">
        <f t="shared" si="37"/>
        <v>0</v>
      </c>
      <c r="AW297" s="1">
        <f t="shared" si="38"/>
        <v>0</v>
      </c>
      <c r="AX297" s="1">
        <f t="shared" si="39"/>
        <v>0</v>
      </c>
    </row>
    <row r="298" spans="1:50" ht="11.1" customHeight="1" outlineLevel="2" x14ac:dyDescent="0.2">
      <c r="A298" s="40" t="s">
        <v>981</v>
      </c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20"/>
    </row>
    <row r="299" spans="1:50" s="1" customFormat="1" ht="24.95" customHeight="1" outlineLevel="3" x14ac:dyDescent="0.2">
      <c r="A299" s="11"/>
      <c r="B299" s="12">
        <v>440</v>
      </c>
      <c r="C299" s="12">
        <v>690</v>
      </c>
      <c r="D299" s="12">
        <v>27607</v>
      </c>
      <c r="E299" s="13" t="s">
        <v>982</v>
      </c>
      <c r="F299" s="13" t="s">
        <v>983</v>
      </c>
      <c r="G299" s="13" t="s">
        <v>56</v>
      </c>
      <c r="H299" s="13"/>
      <c r="I299" s="12">
        <v>2025</v>
      </c>
      <c r="J299" s="13" t="s">
        <v>984</v>
      </c>
      <c r="K299" s="12">
        <v>9785961485837</v>
      </c>
      <c r="L299" s="13" t="s">
        <v>985</v>
      </c>
      <c r="M299" s="12">
        <v>266</v>
      </c>
      <c r="N299" s="14">
        <v>0.33</v>
      </c>
      <c r="O299" s="12">
        <v>150</v>
      </c>
      <c r="P299" s="12">
        <v>210</v>
      </c>
      <c r="Q299" s="12">
        <v>10</v>
      </c>
      <c r="R299" s="13" t="s">
        <v>43</v>
      </c>
      <c r="S299" s="13"/>
      <c r="T299" s="15">
        <v>1000</v>
      </c>
      <c r="U299" s="13" t="s">
        <v>44</v>
      </c>
      <c r="V299" s="13" t="s">
        <v>45</v>
      </c>
      <c r="W299" s="12">
        <v>10</v>
      </c>
      <c r="X299" s="33" t="str">
        <f>HYPERLINK("https://www.alpinabook.ru/catalog/book-obychnyy-vtornik","ссылка на книгу")</f>
        <v>ссылка на книгу</v>
      </c>
      <c r="Y299" s="34" t="str">
        <f>HYPERLINK("https://api-enni.alpina.ru/FilePrivilegesApproval/228","https://api-enni.alpina.ru/FilePrivilegesApproval/228")</f>
        <v>https://api-enni.alpina.ru/FilePrivilegesApproval/228</v>
      </c>
      <c r="Z299" s="13" t="s">
        <v>282</v>
      </c>
      <c r="AT299" s="1">
        <f t="shared" ref="AT299:AT362" si="40">IF($A299&lt;&gt;0,1,0)</f>
        <v>0</v>
      </c>
      <c r="AU299" s="1">
        <f t="shared" ref="AU299:AU362" si="41">$A299*$B299</f>
        <v>0</v>
      </c>
      <c r="AV299" s="1">
        <f t="shared" ref="AV299:AV362" si="42">$A299*$N299</f>
        <v>0</v>
      </c>
      <c r="AW299" s="1">
        <f t="shared" ref="AW299:AW362" si="43">IF($Q299=0,0,INT($A299/$Q299))</f>
        <v>0</v>
      </c>
      <c r="AX299" s="1">
        <f t="shared" ref="AX299:AX362" si="44">$A299-$AW299*$Q299</f>
        <v>0</v>
      </c>
    </row>
    <row r="300" spans="1:50" s="1" customFormat="1" ht="24.95" customHeight="1" outlineLevel="3" x14ac:dyDescent="0.2">
      <c r="A300" s="11"/>
      <c r="B300" s="12">
        <v>800</v>
      </c>
      <c r="C300" s="12">
        <v>800</v>
      </c>
      <c r="D300" s="12">
        <v>17462</v>
      </c>
      <c r="E300" s="13" t="s">
        <v>986</v>
      </c>
      <c r="F300" s="13" t="s">
        <v>987</v>
      </c>
      <c r="G300" s="13" t="s">
        <v>97</v>
      </c>
      <c r="H300" s="13"/>
      <c r="I300" s="12">
        <v>2020</v>
      </c>
      <c r="J300" s="13" t="s">
        <v>988</v>
      </c>
      <c r="K300" s="12">
        <v>9785907274358</v>
      </c>
      <c r="L300" s="13" t="s">
        <v>989</v>
      </c>
      <c r="M300" s="12">
        <v>224</v>
      </c>
      <c r="N300" s="14">
        <v>0.39</v>
      </c>
      <c r="O300" s="12">
        <v>153</v>
      </c>
      <c r="P300" s="12">
        <v>216</v>
      </c>
      <c r="Q300" s="12">
        <v>16</v>
      </c>
      <c r="R300" s="13" t="s">
        <v>43</v>
      </c>
      <c r="S300" s="13"/>
      <c r="T300" s="15">
        <v>1000</v>
      </c>
      <c r="U300" s="13" t="s">
        <v>52</v>
      </c>
      <c r="V300" s="13" t="s">
        <v>45</v>
      </c>
      <c r="W300" s="12">
        <v>10</v>
      </c>
      <c r="X300" s="33" t="str">
        <f>HYPERLINK("https://www.alpinabook.ru/catalog/book-591426","ссылка на книгу")</f>
        <v>ссылка на книгу</v>
      </c>
      <c r="Y300" s="34" t="str">
        <f>HYPERLINK("https://api-enni.alpina.ru/FilePrivilegesApproval/114","https://api-enni.alpina.ru/FilePrivilegesApproval/114")</f>
        <v>https://api-enni.alpina.ru/FilePrivilegesApproval/114</v>
      </c>
      <c r="Z300" s="13"/>
      <c r="AT300" s="1">
        <f t="shared" si="40"/>
        <v>0</v>
      </c>
      <c r="AU300" s="1">
        <f t="shared" si="41"/>
        <v>0</v>
      </c>
      <c r="AV300" s="1">
        <f t="shared" si="42"/>
        <v>0</v>
      </c>
      <c r="AW300" s="1">
        <f t="shared" si="43"/>
        <v>0</v>
      </c>
      <c r="AX300" s="1">
        <f t="shared" si="44"/>
        <v>0</v>
      </c>
    </row>
    <row r="301" spans="1:50" s="1" customFormat="1" ht="24.95" customHeight="1" outlineLevel="3" x14ac:dyDescent="0.2">
      <c r="A301" s="11"/>
      <c r="B301" s="12">
        <v>750</v>
      </c>
      <c r="C301" s="15">
        <v>1090</v>
      </c>
      <c r="D301" s="12">
        <v>19346</v>
      </c>
      <c r="E301" s="13" t="s">
        <v>990</v>
      </c>
      <c r="F301" s="13" t="s">
        <v>991</v>
      </c>
      <c r="G301" s="13" t="s">
        <v>56</v>
      </c>
      <c r="H301" s="13"/>
      <c r="I301" s="12">
        <v>2025</v>
      </c>
      <c r="J301" s="13" t="s">
        <v>992</v>
      </c>
      <c r="K301" s="12">
        <v>9785961439151</v>
      </c>
      <c r="L301" s="13" t="s">
        <v>993</v>
      </c>
      <c r="M301" s="12">
        <v>168</v>
      </c>
      <c r="N301" s="14">
        <v>0.35</v>
      </c>
      <c r="O301" s="12">
        <v>150</v>
      </c>
      <c r="P301" s="12">
        <v>220</v>
      </c>
      <c r="Q301" s="12">
        <v>16</v>
      </c>
      <c r="R301" s="13" t="s">
        <v>43</v>
      </c>
      <c r="S301" s="13"/>
      <c r="T301" s="15">
        <v>4000</v>
      </c>
      <c r="U301" s="13" t="s">
        <v>52</v>
      </c>
      <c r="V301" s="13" t="s">
        <v>269</v>
      </c>
      <c r="W301" s="12">
        <v>10</v>
      </c>
      <c r="X301" s="33" t="str">
        <f>HYPERLINK("https://www.alpinabook.ru/catalog/book-agile-life-kak-vyvesti-zhizn","ссылка на книгу")</f>
        <v>ссылка на книгу</v>
      </c>
      <c r="Y301" s="34" t="str">
        <f>HYPERLINK("https://api-enni.alpina.ru/FilePrivilegesApproval/140","https://api-enni.alpina.ru/FilePrivilegesApproval/140")</f>
        <v>https://api-enni.alpina.ru/FilePrivilegesApproval/140</v>
      </c>
      <c r="Z301" s="13"/>
      <c r="AT301" s="1">
        <f t="shared" si="40"/>
        <v>0</v>
      </c>
      <c r="AU301" s="1">
        <f t="shared" si="41"/>
        <v>0</v>
      </c>
      <c r="AV301" s="1">
        <f t="shared" si="42"/>
        <v>0</v>
      </c>
      <c r="AW301" s="1">
        <f t="shared" si="43"/>
        <v>0</v>
      </c>
      <c r="AX301" s="1">
        <f t="shared" si="44"/>
        <v>0</v>
      </c>
    </row>
    <row r="302" spans="1:50" s="1" customFormat="1" ht="24.95" customHeight="1" outlineLevel="3" x14ac:dyDescent="0.2">
      <c r="A302" s="26"/>
      <c r="B302" s="27">
        <v>590</v>
      </c>
      <c r="C302" s="27">
        <v>840</v>
      </c>
      <c r="D302" s="27">
        <v>18578</v>
      </c>
      <c r="E302" s="29" t="s">
        <v>994</v>
      </c>
      <c r="F302" s="29" t="s">
        <v>995</v>
      </c>
      <c r="G302" s="29" t="s">
        <v>56</v>
      </c>
      <c r="H302" s="29"/>
      <c r="I302" s="27">
        <v>2021</v>
      </c>
      <c r="J302" s="29" t="s">
        <v>996</v>
      </c>
      <c r="K302" s="27">
        <v>9785961436204</v>
      </c>
      <c r="L302" s="29" t="s">
        <v>997</v>
      </c>
      <c r="M302" s="27">
        <v>222</v>
      </c>
      <c r="N302" s="30">
        <v>0.37</v>
      </c>
      <c r="O302" s="27">
        <v>146</v>
      </c>
      <c r="P302" s="27">
        <v>216</v>
      </c>
      <c r="Q302" s="27">
        <v>16</v>
      </c>
      <c r="R302" s="29" t="s">
        <v>43</v>
      </c>
      <c r="S302" s="29"/>
      <c r="T302" s="28">
        <v>2000</v>
      </c>
      <c r="U302" s="29" t="s">
        <v>52</v>
      </c>
      <c r="V302" s="29" t="s">
        <v>59</v>
      </c>
      <c r="W302" s="27">
        <v>10</v>
      </c>
      <c r="X302" s="37" t="str">
        <f>HYPERLINK("https://www.alpinabook.ru/catalog/book-657220","ссылка на книгу")</f>
        <v>ссылка на книгу</v>
      </c>
      <c r="Y302" s="38" t="str">
        <f>HYPERLINK("https://api-enni.alpina.ru/FilePrivilegesApproval/80","https://api-enni.alpina.ru/FilePrivilegesApproval/80")</f>
        <v>https://api-enni.alpina.ru/FilePrivilegesApproval/80</v>
      </c>
      <c r="Z302" s="29"/>
      <c r="AT302" s="1">
        <f t="shared" si="40"/>
        <v>0</v>
      </c>
      <c r="AU302" s="1">
        <f t="shared" si="41"/>
        <v>0</v>
      </c>
      <c r="AV302" s="1">
        <f t="shared" si="42"/>
        <v>0</v>
      </c>
      <c r="AW302" s="1">
        <f t="shared" si="43"/>
        <v>0</v>
      </c>
      <c r="AX302" s="1">
        <f t="shared" si="44"/>
        <v>0</v>
      </c>
    </row>
    <row r="303" spans="1:50" s="1" customFormat="1" ht="24.95" customHeight="1" outlineLevel="3" x14ac:dyDescent="0.2">
      <c r="A303" s="11"/>
      <c r="B303" s="12">
        <v>590</v>
      </c>
      <c r="C303" s="12">
        <v>840</v>
      </c>
      <c r="D303" s="12">
        <v>30671</v>
      </c>
      <c r="E303" s="13" t="s">
        <v>998</v>
      </c>
      <c r="F303" s="13" t="s">
        <v>999</v>
      </c>
      <c r="G303" s="13" t="s">
        <v>56</v>
      </c>
      <c r="H303" s="13" t="s">
        <v>40</v>
      </c>
      <c r="I303" s="12">
        <v>2025</v>
      </c>
      <c r="J303" s="13" t="s">
        <v>1000</v>
      </c>
      <c r="K303" s="12">
        <v>9785961496161</v>
      </c>
      <c r="L303" s="13" t="s">
        <v>1001</v>
      </c>
      <c r="M303" s="12">
        <v>262</v>
      </c>
      <c r="N303" s="14">
        <v>0.42</v>
      </c>
      <c r="O303" s="12">
        <v>150</v>
      </c>
      <c r="P303" s="12">
        <v>220</v>
      </c>
      <c r="Q303" s="12">
        <v>14</v>
      </c>
      <c r="R303" s="13" t="s">
        <v>43</v>
      </c>
      <c r="S303" s="13"/>
      <c r="T303" s="15">
        <v>2000</v>
      </c>
      <c r="U303" s="13" t="s">
        <v>52</v>
      </c>
      <c r="V303" s="13" t="s">
        <v>59</v>
      </c>
      <c r="W303" s="12">
        <v>10</v>
      </c>
      <c r="X303" s="33" t="str">
        <f>HYPERLINK("https://www.alpinabook.ru/catalog/book-aptaym","ссылка на книгу")</f>
        <v>ссылка на книгу</v>
      </c>
      <c r="Y303" s="34" t="str">
        <f>HYPERLINK("https://api-enni.alpina.ru/FilePrivilegesApproval/713","https://api-enni.alpina.ru/FilePrivilegesApproval/713")</f>
        <v>https://api-enni.alpina.ru/FilePrivilegesApproval/713</v>
      </c>
      <c r="Z303" s="13"/>
      <c r="AT303" s="1">
        <f t="shared" si="40"/>
        <v>0</v>
      </c>
      <c r="AU303" s="1">
        <f t="shared" si="41"/>
        <v>0</v>
      </c>
      <c r="AV303" s="1">
        <f t="shared" si="42"/>
        <v>0</v>
      </c>
      <c r="AW303" s="1">
        <f t="shared" si="43"/>
        <v>0</v>
      </c>
      <c r="AX303" s="1">
        <f t="shared" si="44"/>
        <v>0</v>
      </c>
    </row>
    <row r="304" spans="1:50" s="1" customFormat="1" ht="24.95" customHeight="1" outlineLevel="3" x14ac:dyDescent="0.2">
      <c r="A304" s="11"/>
      <c r="B304" s="12">
        <v>540</v>
      </c>
      <c r="C304" s="12">
        <v>890</v>
      </c>
      <c r="D304" s="12">
        <v>30418</v>
      </c>
      <c r="E304" s="13" t="s">
        <v>1002</v>
      </c>
      <c r="F304" s="13" t="s">
        <v>1003</v>
      </c>
      <c r="G304" s="13" t="s">
        <v>97</v>
      </c>
      <c r="H304" s="13"/>
      <c r="I304" s="12">
        <v>2024</v>
      </c>
      <c r="J304" s="13" t="s">
        <v>1004</v>
      </c>
      <c r="K304" s="12">
        <v>9785206003215</v>
      </c>
      <c r="L304" s="13" t="s">
        <v>1005</v>
      </c>
      <c r="M304" s="12">
        <v>192</v>
      </c>
      <c r="N304" s="14">
        <v>0.33</v>
      </c>
      <c r="O304" s="12">
        <v>150</v>
      </c>
      <c r="P304" s="12">
        <v>220</v>
      </c>
      <c r="Q304" s="12">
        <v>10</v>
      </c>
      <c r="R304" s="13" t="s">
        <v>43</v>
      </c>
      <c r="S304" s="13"/>
      <c r="T304" s="15">
        <v>1000</v>
      </c>
      <c r="U304" s="13" t="s">
        <v>52</v>
      </c>
      <c r="V304" s="13" t="s">
        <v>45</v>
      </c>
      <c r="W304" s="12">
        <v>10</v>
      </c>
      <c r="X304" s="33" t="str">
        <f>HYPERLINK("https://www.alpinabook.ru/catalog/book-arkhitektura-peremen","ссылка на книгу")</f>
        <v>ссылка на книгу</v>
      </c>
      <c r="Y304" s="34" t="str">
        <f>HYPERLINK("https://api-enni.alpina.ru/FilePrivilegesApproval/529","https://api-enni.alpina.ru/FilePrivilegesApproval/529")</f>
        <v>https://api-enni.alpina.ru/FilePrivilegesApproval/529</v>
      </c>
      <c r="Z304" s="13" t="s">
        <v>343</v>
      </c>
      <c r="AT304" s="1">
        <f t="shared" si="40"/>
        <v>0</v>
      </c>
      <c r="AU304" s="1">
        <f t="shared" si="41"/>
        <v>0</v>
      </c>
      <c r="AV304" s="1">
        <f t="shared" si="42"/>
        <v>0</v>
      </c>
      <c r="AW304" s="1">
        <f t="shared" si="43"/>
        <v>0</v>
      </c>
      <c r="AX304" s="1">
        <f t="shared" si="44"/>
        <v>0</v>
      </c>
    </row>
    <row r="305" spans="1:50" s="1" customFormat="1" ht="21.95" customHeight="1" outlineLevel="3" x14ac:dyDescent="0.2">
      <c r="A305" s="11"/>
      <c r="B305" s="12">
        <v>590</v>
      </c>
      <c r="C305" s="12">
        <v>840</v>
      </c>
      <c r="D305" s="12">
        <v>30143</v>
      </c>
      <c r="E305" s="13" t="s">
        <v>1006</v>
      </c>
      <c r="F305" s="13" t="s">
        <v>1007</v>
      </c>
      <c r="G305" s="13" t="s">
        <v>56</v>
      </c>
      <c r="H305" s="13"/>
      <c r="I305" s="12">
        <v>2025</v>
      </c>
      <c r="J305" s="13" t="s">
        <v>1008</v>
      </c>
      <c r="K305" s="12">
        <v>9785961494877</v>
      </c>
      <c r="L305" s="13" t="s">
        <v>1009</v>
      </c>
      <c r="M305" s="12">
        <v>172</v>
      </c>
      <c r="N305" s="14">
        <v>0.37</v>
      </c>
      <c r="O305" s="12">
        <v>150</v>
      </c>
      <c r="P305" s="12">
        <v>220</v>
      </c>
      <c r="Q305" s="12">
        <v>16</v>
      </c>
      <c r="R305" s="13" t="s">
        <v>43</v>
      </c>
      <c r="S305" s="13"/>
      <c r="T305" s="15">
        <v>3000</v>
      </c>
      <c r="U305" s="13" t="s">
        <v>52</v>
      </c>
      <c r="V305" s="13" t="s">
        <v>89</v>
      </c>
      <c r="W305" s="12">
        <v>20</v>
      </c>
      <c r="X305" s="33" t="str">
        <f>HYPERLINK("https://www.alpinabook.ru/catalog/book-blizost","ссылка на книгу")</f>
        <v>ссылка на книгу</v>
      </c>
      <c r="Y305" s="34" t="str">
        <f>HYPERLINK("","")</f>
        <v/>
      </c>
      <c r="Z305" s="13"/>
      <c r="AT305" s="1">
        <f t="shared" si="40"/>
        <v>0</v>
      </c>
      <c r="AU305" s="1">
        <f t="shared" si="41"/>
        <v>0</v>
      </c>
      <c r="AV305" s="1">
        <f t="shared" si="42"/>
        <v>0</v>
      </c>
      <c r="AW305" s="1">
        <f t="shared" si="43"/>
        <v>0</v>
      </c>
      <c r="AX305" s="1">
        <f t="shared" si="44"/>
        <v>0</v>
      </c>
    </row>
    <row r="306" spans="1:50" s="1" customFormat="1" ht="24.95" customHeight="1" outlineLevel="3" x14ac:dyDescent="0.2">
      <c r="A306" s="11"/>
      <c r="B306" s="12">
        <v>490</v>
      </c>
      <c r="C306" s="12">
        <v>740</v>
      </c>
      <c r="D306" s="12">
        <v>20533</v>
      </c>
      <c r="E306" s="13" t="s">
        <v>1010</v>
      </c>
      <c r="F306" s="13" t="s">
        <v>1011</v>
      </c>
      <c r="G306" s="13" t="s">
        <v>56</v>
      </c>
      <c r="H306" s="13" t="s">
        <v>40</v>
      </c>
      <c r="I306" s="12">
        <v>2023</v>
      </c>
      <c r="J306" s="13" t="s">
        <v>1012</v>
      </c>
      <c r="K306" s="12">
        <v>9785961482706</v>
      </c>
      <c r="L306" s="13" t="s">
        <v>1013</v>
      </c>
      <c r="M306" s="12">
        <v>386</v>
      </c>
      <c r="N306" s="14">
        <v>0.48</v>
      </c>
      <c r="O306" s="12">
        <v>140</v>
      </c>
      <c r="P306" s="12">
        <v>210</v>
      </c>
      <c r="Q306" s="12">
        <v>12</v>
      </c>
      <c r="R306" s="13" t="s">
        <v>43</v>
      </c>
      <c r="S306" s="13"/>
      <c r="T306" s="15">
        <v>2000</v>
      </c>
      <c r="U306" s="13" t="s">
        <v>44</v>
      </c>
      <c r="V306" s="13" t="s">
        <v>89</v>
      </c>
      <c r="W306" s="12">
        <v>20</v>
      </c>
      <c r="X306" s="33" t="str">
        <f>HYPERLINK("https://www.alpinabook.ru/catalog/book-bolshe-chem-zhelanie","ссылка на книгу")</f>
        <v>ссылка на книгу</v>
      </c>
      <c r="Y306" s="34" t="str">
        <f>HYPERLINK("https://api-enni.alpina.ru/FilePrivilegesApproval/196","https://api-enni.alpina.ru/FilePrivilegesApproval/196")</f>
        <v>https://api-enni.alpina.ru/FilePrivilegesApproval/196</v>
      </c>
      <c r="Z306" s="13"/>
      <c r="AT306" s="1">
        <f t="shared" si="40"/>
        <v>0</v>
      </c>
      <c r="AU306" s="1">
        <f t="shared" si="41"/>
        <v>0</v>
      </c>
      <c r="AV306" s="1">
        <f t="shared" si="42"/>
        <v>0</v>
      </c>
      <c r="AW306" s="1">
        <f t="shared" si="43"/>
        <v>0</v>
      </c>
      <c r="AX306" s="1">
        <f t="shared" si="44"/>
        <v>0</v>
      </c>
    </row>
    <row r="307" spans="1:50" s="1" customFormat="1" ht="24.95" customHeight="1" outlineLevel="3" x14ac:dyDescent="0.2">
      <c r="A307" s="11"/>
      <c r="B307" s="12">
        <v>690</v>
      </c>
      <c r="C307" s="12">
        <v>990</v>
      </c>
      <c r="D307" s="12">
        <v>24243</v>
      </c>
      <c r="E307" s="13" t="s">
        <v>1014</v>
      </c>
      <c r="F307" s="13" t="s">
        <v>1015</v>
      </c>
      <c r="G307" s="13" t="s">
        <v>56</v>
      </c>
      <c r="H307" s="13" t="s">
        <v>40</v>
      </c>
      <c r="I307" s="12">
        <v>2022</v>
      </c>
      <c r="J307" s="13" t="s">
        <v>1016</v>
      </c>
      <c r="K307" s="12">
        <v>9785961480085</v>
      </c>
      <c r="L307" s="13" t="s">
        <v>1017</v>
      </c>
      <c r="M307" s="12">
        <v>328</v>
      </c>
      <c r="N307" s="14">
        <v>0.48</v>
      </c>
      <c r="O307" s="12">
        <v>146</v>
      </c>
      <c r="P307" s="12">
        <v>216</v>
      </c>
      <c r="Q307" s="12">
        <v>12</v>
      </c>
      <c r="R307" s="13" t="s">
        <v>43</v>
      </c>
      <c r="S307" s="13"/>
      <c r="T307" s="15">
        <v>4000</v>
      </c>
      <c r="U307" s="13" t="s">
        <v>52</v>
      </c>
      <c r="V307" s="13" t="s">
        <v>45</v>
      </c>
      <c r="W307" s="12">
        <v>10</v>
      </c>
      <c r="X307" s="33" t="str">
        <f>HYPERLINK("https://www.alpinabook.ru/catalog/book-bud-tem-kem-hochesh","ссылка на книгу")</f>
        <v>ссылка на книгу</v>
      </c>
      <c r="Y307" s="34" t="str">
        <f>HYPERLINK("https://api-enni.alpina.ru/FilePrivilegesApproval/156","https://api-enni.alpina.ru/FilePrivilegesApproval/156")</f>
        <v>https://api-enni.alpina.ru/FilePrivilegesApproval/156</v>
      </c>
      <c r="Z307" s="13"/>
      <c r="AT307" s="1">
        <f t="shared" si="40"/>
        <v>0</v>
      </c>
      <c r="AU307" s="1">
        <f t="shared" si="41"/>
        <v>0</v>
      </c>
      <c r="AV307" s="1">
        <f t="shared" si="42"/>
        <v>0</v>
      </c>
      <c r="AW307" s="1">
        <f t="shared" si="43"/>
        <v>0</v>
      </c>
      <c r="AX307" s="1">
        <f t="shared" si="44"/>
        <v>0</v>
      </c>
    </row>
    <row r="308" spans="1:50" s="1" customFormat="1" ht="24.95" customHeight="1" outlineLevel="3" x14ac:dyDescent="0.2">
      <c r="A308" s="11"/>
      <c r="B308" s="12">
        <v>490</v>
      </c>
      <c r="C308" s="12">
        <v>740</v>
      </c>
      <c r="D308" s="12">
        <v>25225</v>
      </c>
      <c r="E308" s="13" t="s">
        <v>1018</v>
      </c>
      <c r="F308" s="13" t="s">
        <v>1019</v>
      </c>
      <c r="G308" s="13" t="s">
        <v>56</v>
      </c>
      <c r="H308" s="13" t="s">
        <v>40</v>
      </c>
      <c r="I308" s="12">
        <v>2025</v>
      </c>
      <c r="J308" s="13" t="s">
        <v>1020</v>
      </c>
      <c r="K308" s="12">
        <v>9785961480627</v>
      </c>
      <c r="L308" s="13" t="s">
        <v>1021</v>
      </c>
      <c r="M308" s="12">
        <v>158</v>
      </c>
      <c r="N308" s="14">
        <v>0.2</v>
      </c>
      <c r="O308" s="12">
        <v>140</v>
      </c>
      <c r="P308" s="12">
        <v>210</v>
      </c>
      <c r="Q308" s="12">
        <v>15</v>
      </c>
      <c r="R308" s="13" t="s">
        <v>43</v>
      </c>
      <c r="S308" s="13"/>
      <c r="T308" s="15">
        <v>1000</v>
      </c>
      <c r="U308" s="13" t="s">
        <v>44</v>
      </c>
      <c r="V308" s="13" t="s">
        <v>59</v>
      </c>
      <c r="W308" s="12">
        <v>10</v>
      </c>
      <c r="X308" s="33" t="str">
        <f>HYPERLINK("https://www.alpinabook.ru/catalog/book-bystraya-samoterapiya","ссылка на книгу")</f>
        <v>ссылка на книгу</v>
      </c>
      <c r="Y308" s="34" t="str">
        <f>HYPERLINK("https://api-enni.alpina.ru/FilePrivilegesApproval/156","https://api-enni.alpina.ru/FilePrivilegesApproval/156")</f>
        <v>https://api-enni.alpina.ru/FilePrivilegesApproval/156</v>
      </c>
      <c r="Z308" s="13" t="s">
        <v>405</v>
      </c>
      <c r="AT308" s="1">
        <f t="shared" si="40"/>
        <v>0</v>
      </c>
      <c r="AU308" s="1">
        <f t="shared" si="41"/>
        <v>0</v>
      </c>
      <c r="AV308" s="1">
        <f t="shared" si="42"/>
        <v>0</v>
      </c>
      <c r="AW308" s="1">
        <f t="shared" si="43"/>
        <v>0</v>
      </c>
      <c r="AX308" s="1">
        <f t="shared" si="44"/>
        <v>0</v>
      </c>
    </row>
    <row r="309" spans="1:50" s="1" customFormat="1" ht="24.95" customHeight="1" outlineLevel="3" x14ac:dyDescent="0.2">
      <c r="A309" s="26"/>
      <c r="B309" s="27">
        <v>490</v>
      </c>
      <c r="C309" s="27">
        <v>490</v>
      </c>
      <c r="D309" s="27">
        <v>11300</v>
      </c>
      <c r="E309" s="29" t="s">
        <v>1022</v>
      </c>
      <c r="F309" s="29" t="s">
        <v>1023</v>
      </c>
      <c r="G309" s="29" t="s">
        <v>56</v>
      </c>
      <c r="H309" s="29" t="s">
        <v>40</v>
      </c>
      <c r="I309" s="27">
        <v>2022</v>
      </c>
      <c r="J309" s="29" t="s">
        <v>1024</v>
      </c>
      <c r="K309" s="27">
        <v>9785961417234</v>
      </c>
      <c r="L309" s="29" t="s">
        <v>1025</v>
      </c>
      <c r="M309" s="27">
        <v>292</v>
      </c>
      <c r="N309" s="30">
        <v>0.37</v>
      </c>
      <c r="O309" s="27">
        <v>148</v>
      </c>
      <c r="P309" s="27">
        <v>210</v>
      </c>
      <c r="Q309" s="27">
        <v>16</v>
      </c>
      <c r="R309" s="29" t="s">
        <v>43</v>
      </c>
      <c r="S309" s="29"/>
      <c r="T309" s="28">
        <v>1000</v>
      </c>
      <c r="U309" s="29" t="s">
        <v>44</v>
      </c>
      <c r="V309" s="29" t="s">
        <v>59</v>
      </c>
      <c r="W309" s="27">
        <v>10</v>
      </c>
      <c r="X309" s="37" t="str">
        <f>HYPERLINK("https://www.alpinabook.ru/catalog/book-bystraya-cherepakha","ссылка на книгу")</f>
        <v>ссылка на книгу</v>
      </c>
      <c r="Y309" s="38" t="str">
        <f>HYPERLINK("https://api-enni.alpina.ru/FilePrivilegesApproval/152","https://api-enni.alpina.ru/FilePrivilegesApproval/152")</f>
        <v>https://api-enni.alpina.ru/FilePrivilegesApproval/152</v>
      </c>
      <c r="Z309" s="29"/>
      <c r="AT309" s="1">
        <f t="shared" si="40"/>
        <v>0</v>
      </c>
      <c r="AU309" s="1">
        <f t="shared" si="41"/>
        <v>0</v>
      </c>
      <c r="AV309" s="1">
        <f t="shared" si="42"/>
        <v>0</v>
      </c>
      <c r="AW309" s="1">
        <f t="shared" si="43"/>
        <v>0</v>
      </c>
      <c r="AX309" s="1">
        <f t="shared" si="44"/>
        <v>0</v>
      </c>
    </row>
    <row r="310" spans="1:50" s="1" customFormat="1" ht="24.95" customHeight="1" outlineLevel="3" x14ac:dyDescent="0.2">
      <c r="A310" s="11"/>
      <c r="B310" s="12">
        <v>690</v>
      </c>
      <c r="C310" s="12">
        <v>790</v>
      </c>
      <c r="D310" s="12">
        <v>25118</v>
      </c>
      <c r="E310" s="13" t="s">
        <v>1026</v>
      </c>
      <c r="F310" s="13" t="s">
        <v>1027</v>
      </c>
      <c r="G310" s="13" t="s">
        <v>97</v>
      </c>
      <c r="H310" s="13"/>
      <c r="I310" s="12">
        <v>2022</v>
      </c>
      <c r="J310" s="13" t="s">
        <v>1028</v>
      </c>
      <c r="K310" s="12">
        <v>9785907534575</v>
      </c>
      <c r="L310" s="13" t="s">
        <v>1029</v>
      </c>
      <c r="M310" s="12">
        <v>189</v>
      </c>
      <c r="N310" s="14">
        <v>0.3</v>
      </c>
      <c r="O310" s="12">
        <v>146</v>
      </c>
      <c r="P310" s="12">
        <v>216</v>
      </c>
      <c r="Q310" s="12">
        <v>20</v>
      </c>
      <c r="R310" s="13" t="s">
        <v>43</v>
      </c>
      <c r="S310" s="13"/>
      <c r="T310" s="15">
        <v>1500</v>
      </c>
      <c r="U310" s="13" t="s">
        <v>52</v>
      </c>
      <c r="V310" s="13" t="s">
        <v>59</v>
      </c>
      <c r="W310" s="12">
        <v>10</v>
      </c>
      <c r="X310" s="33" t="str">
        <f>HYPERLINK("https://www.alpinabook.ru/catalog/book-effektivnye-shagi-k-tseli","ссылка на книгу")</f>
        <v>ссылка на книгу</v>
      </c>
      <c r="Y310" s="34" t="str">
        <f>HYPERLINK("https://api-enni.alpina.ru/FilePrivilegesApproval/143","https://api-enni.alpina.ru/FilePrivilegesApproval/143")</f>
        <v>https://api-enni.alpina.ru/FilePrivilegesApproval/143</v>
      </c>
      <c r="Z310" s="13"/>
      <c r="AT310" s="1">
        <f t="shared" si="40"/>
        <v>0</v>
      </c>
      <c r="AU310" s="1">
        <f t="shared" si="41"/>
        <v>0</v>
      </c>
      <c r="AV310" s="1">
        <f t="shared" si="42"/>
        <v>0</v>
      </c>
      <c r="AW310" s="1">
        <f t="shared" si="43"/>
        <v>0</v>
      </c>
      <c r="AX310" s="1">
        <f t="shared" si="44"/>
        <v>0</v>
      </c>
    </row>
    <row r="311" spans="1:50" s="1" customFormat="1" ht="24.95" customHeight="1" outlineLevel="3" x14ac:dyDescent="0.2">
      <c r="A311" s="11"/>
      <c r="B311" s="12">
        <v>640</v>
      </c>
      <c r="C311" s="12">
        <v>940</v>
      </c>
      <c r="D311" s="12">
        <v>27229</v>
      </c>
      <c r="E311" s="13" t="s">
        <v>335</v>
      </c>
      <c r="F311" s="13" t="s">
        <v>336</v>
      </c>
      <c r="G311" s="13" t="s">
        <v>56</v>
      </c>
      <c r="H311" s="13" t="s">
        <v>40</v>
      </c>
      <c r="I311" s="12">
        <v>2025</v>
      </c>
      <c r="J311" s="13" t="s">
        <v>337</v>
      </c>
      <c r="K311" s="12">
        <v>9785961484205</v>
      </c>
      <c r="L311" s="13" t="s">
        <v>338</v>
      </c>
      <c r="M311" s="12">
        <v>224</v>
      </c>
      <c r="N311" s="14">
        <v>0.35</v>
      </c>
      <c r="O311" s="12">
        <v>140</v>
      </c>
      <c r="P311" s="12">
        <v>210</v>
      </c>
      <c r="Q311" s="12">
        <v>10</v>
      </c>
      <c r="R311" s="13" t="s">
        <v>43</v>
      </c>
      <c r="S311" s="13"/>
      <c r="T311" s="15">
        <v>1000</v>
      </c>
      <c r="U311" s="13" t="s">
        <v>44</v>
      </c>
      <c r="V311" s="13" t="s">
        <v>59</v>
      </c>
      <c r="W311" s="12">
        <v>10</v>
      </c>
      <c r="X311" s="33" t="str">
        <f>HYPERLINK("https://www.alpinabook.ru/catalog/book-byt-gotovym-ko-vsemu","ссылка на книгу")</f>
        <v>ссылка на книгу</v>
      </c>
      <c r="Y311" s="34" t="str">
        <f>HYPERLINK("https://api-enni.alpina.ru/FilePrivilegesApproval/313","https://api-enni.alpina.ru/FilePrivilegesApproval/313")</f>
        <v>https://api-enni.alpina.ru/FilePrivilegesApproval/313</v>
      </c>
      <c r="Z311" s="13" t="s">
        <v>77</v>
      </c>
      <c r="AT311" s="1">
        <f t="shared" si="40"/>
        <v>0</v>
      </c>
      <c r="AU311" s="1">
        <f t="shared" si="41"/>
        <v>0</v>
      </c>
      <c r="AV311" s="1">
        <f t="shared" si="42"/>
        <v>0</v>
      </c>
      <c r="AW311" s="1">
        <f t="shared" si="43"/>
        <v>0</v>
      </c>
      <c r="AX311" s="1">
        <f t="shared" si="44"/>
        <v>0</v>
      </c>
    </row>
    <row r="312" spans="1:50" s="1" customFormat="1" ht="24.95" customHeight="1" outlineLevel="3" x14ac:dyDescent="0.2">
      <c r="A312" s="11"/>
      <c r="B312" s="12">
        <v>590</v>
      </c>
      <c r="C312" s="12">
        <v>840</v>
      </c>
      <c r="D312" s="12">
        <v>29683</v>
      </c>
      <c r="E312" s="13" t="s">
        <v>1030</v>
      </c>
      <c r="F312" s="13" t="s">
        <v>1031</v>
      </c>
      <c r="G312" s="13" t="s">
        <v>97</v>
      </c>
      <c r="H312" s="13"/>
      <c r="I312" s="12">
        <v>2025</v>
      </c>
      <c r="J312" s="13" t="s">
        <v>1032</v>
      </c>
      <c r="K312" s="12">
        <v>9785206002881</v>
      </c>
      <c r="L312" s="13" t="s">
        <v>1033</v>
      </c>
      <c r="M312" s="12">
        <v>144</v>
      </c>
      <c r="N312" s="14">
        <v>0.33</v>
      </c>
      <c r="O312" s="12">
        <v>150</v>
      </c>
      <c r="P312" s="12">
        <v>220</v>
      </c>
      <c r="Q312" s="12">
        <v>10</v>
      </c>
      <c r="R312" s="13" t="s">
        <v>43</v>
      </c>
      <c r="S312" s="13"/>
      <c r="T312" s="15">
        <v>1000</v>
      </c>
      <c r="U312" s="13" t="s">
        <v>52</v>
      </c>
      <c r="V312" s="13" t="s">
        <v>45</v>
      </c>
      <c r="W312" s="12">
        <v>10</v>
      </c>
      <c r="X312" s="33" t="str">
        <f>HYPERLINK("https://www.alpinabook.ru/catalog/book-v-poiskakh-lunnogo-zaytsa","ссылка на книгу")</f>
        <v>ссылка на книгу</v>
      </c>
      <c r="Y312" s="34" t="str">
        <f>HYPERLINK("https://api-enni.alpina.ru/FilePrivilegesApproval/394","https://api-enni.alpina.ru/FilePrivilegesApproval/394")</f>
        <v>https://api-enni.alpina.ru/FilePrivilegesApproval/394</v>
      </c>
      <c r="Z312" s="13" t="s">
        <v>775</v>
      </c>
      <c r="AT312" s="1">
        <f t="shared" si="40"/>
        <v>0</v>
      </c>
      <c r="AU312" s="1">
        <f t="shared" si="41"/>
        <v>0</v>
      </c>
      <c r="AV312" s="1">
        <f t="shared" si="42"/>
        <v>0</v>
      </c>
      <c r="AW312" s="1">
        <f t="shared" si="43"/>
        <v>0</v>
      </c>
      <c r="AX312" s="1">
        <f t="shared" si="44"/>
        <v>0</v>
      </c>
    </row>
    <row r="313" spans="1:50" s="1" customFormat="1" ht="24.95" customHeight="1" outlineLevel="3" x14ac:dyDescent="0.2">
      <c r="A313" s="11"/>
      <c r="B313" s="12">
        <v>530</v>
      </c>
      <c r="C313" s="12">
        <v>530</v>
      </c>
      <c r="D313" s="12">
        <v>20833</v>
      </c>
      <c r="E313" s="13" t="s">
        <v>1034</v>
      </c>
      <c r="F313" s="13" t="s">
        <v>1035</v>
      </c>
      <c r="G313" s="13" t="s">
        <v>56</v>
      </c>
      <c r="H313" s="13"/>
      <c r="I313" s="12">
        <v>2022</v>
      </c>
      <c r="J313" s="13" t="s">
        <v>1036</v>
      </c>
      <c r="K313" s="12">
        <v>9785961472462</v>
      </c>
      <c r="L313" s="13" t="s">
        <v>1037</v>
      </c>
      <c r="M313" s="12">
        <v>160</v>
      </c>
      <c r="N313" s="14">
        <v>0.2</v>
      </c>
      <c r="O313" s="12">
        <v>140</v>
      </c>
      <c r="P313" s="12">
        <v>210</v>
      </c>
      <c r="Q313" s="12">
        <v>26</v>
      </c>
      <c r="R313" s="13" t="s">
        <v>43</v>
      </c>
      <c r="S313" s="13"/>
      <c r="T313" s="15">
        <v>1500</v>
      </c>
      <c r="U313" s="13" t="s">
        <v>44</v>
      </c>
      <c r="V313" s="13" t="s">
        <v>59</v>
      </c>
      <c r="W313" s="12">
        <v>10</v>
      </c>
      <c r="X313" s="33" t="str">
        <f>HYPERLINK("https://www.alpinabook.ru/catalog/book-v-svoem-ume","ссылка на книгу")</f>
        <v>ссылка на книгу</v>
      </c>
      <c r="Y313" s="34" t="str">
        <f>HYPERLINK("https://api-enni.alpina.ru/FilePrivilegesApproval/124","https://api-enni.alpina.ru/FilePrivilegesApproval/124")</f>
        <v>https://api-enni.alpina.ru/FilePrivilegesApproval/124</v>
      </c>
      <c r="Z313" s="13"/>
      <c r="AT313" s="1">
        <f t="shared" si="40"/>
        <v>0</v>
      </c>
      <c r="AU313" s="1">
        <f t="shared" si="41"/>
        <v>0</v>
      </c>
      <c r="AV313" s="1">
        <f t="shared" si="42"/>
        <v>0</v>
      </c>
      <c r="AW313" s="1">
        <f t="shared" si="43"/>
        <v>0</v>
      </c>
      <c r="AX313" s="1">
        <f t="shared" si="44"/>
        <v>0</v>
      </c>
    </row>
    <row r="314" spans="1:50" s="1" customFormat="1" ht="24.95" customHeight="1" outlineLevel="3" x14ac:dyDescent="0.2">
      <c r="A314" s="11"/>
      <c r="B314" s="12">
        <v>590</v>
      </c>
      <c r="C314" s="12">
        <v>840</v>
      </c>
      <c r="D314" s="12">
        <v>30151</v>
      </c>
      <c r="E314" s="13" t="s">
        <v>1038</v>
      </c>
      <c r="F314" s="13" t="s">
        <v>1039</v>
      </c>
      <c r="G314" s="13" t="s">
        <v>56</v>
      </c>
      <c r="H314" s="13" t="s">
        <v>40</v>
      </c>
      <c r="I314" s="12">
        <v>2025</v>
      </c>
      <c r="J314" s="13" t="s">
        <v>1040</v>
      </c>
      <c r="K314" s="12">
        <v>9785961494921</v>
      </c>
      <c r="L314" s="13" t="s">
        <v>1041</v>
      </c>
      <c r="M314" s="12">
        <v>269</v>
      </c>
      <c r="N314" s="14">
        <v>0.42</v>
      </c>
      <c r="O314" s="12">
        <v>150</v>
      </c>
      <c r="P314" s="12">
        <v>220</v>
      </c>
      <c r="Q314" s="12">
        <v>16</v>
      </c>
      <c r="R314" s="13" t="s">
        <v>43</v>
      </c>
      <c r="S314" s="13"/>
      <c r="T314" s="15">
        <v>1500</v>
      </c>
      <c r="U314" s="13" t="s">
        <v>52</v>
      </c>
      <c r="V314" s="13" t="s">
        <v>45</v>
      </c>
      <c r="W314" s="12">
        <v>10</v>
      </c>
      <c r="X314" s="33" t="str">
        <f>HYPERLINK("https://www.alpinabook.ru/catalog/book-v-sostoyanii-potoka","ссылка на книгу")</f>
        <v>ссылка на книгу</v>
      </c>
      <c r="Y314" s="34" t="str">
        <f>HYPERLINK("https://api-enni.alpina.ru/FilePrivilegesApproval/758","https://api-enni.alpina.ru/FilePrivilegesApproval/758")</f>
        <v>https://api-enni.alpina.ru/FilePrivilegesApproval/758</v>
      </c>
      <c r="Z314" s="13" t="s">
        <v>567</v>
      </c>
      <c r="AT314" s="1">
        <f t="shared" si="40"/>
        <v>0</v>
      </c>
      <c r="AU314" s="1">
        <f t="shared" si="41"/>
        <v>0</v>
      </c>
      <c r="AV314" s="1">
        <f t="shared" si="42"/>
        <v>0</v>
      </c>
      <c r="AW314" s="1">
        <f t="shared" si="43"/>
        <v>0</v>
      </c>
      <c r="AX314" s="1">
        <f t="shared" si="44"/>
        <v>0</v>
      </c>
    </row>
    <row r="315" spans="1:50" s="1" customFormat="1" ht="24.95" customHeight="1" outlineLevel="3" x14ac:dyDescent="0.2">
      <c r="A315" s="11"/>
      <c r="B315" s="12">
        <v>490</v>
      </c>
      <c r="C315" s="12">
        <v>740</v>
      </c>
      <c r="D315" s="12">
        <v>31643</v>
      </c>
      <c r="E315" s="13" t="s">
        <v>66</v>
      </c>
      <c r="F315" s="13" t="s">
        <v>1042</v>
      </c>
      <c r="G315" s="13" t="s">
        <v>56</v>
      </c>
      <c r="H315" s="13"/>
      <c r="I315" s="12">
        <v>2025</v>
      </c>
      <c r="J315" s="13" t="s">
        <v>1043</v>
      </c>
      <c r="K315" s="12">
        <v>9785961499711</v>
      </c>
      <c r="L315" s="13" t="s">
        <v>1044</v>
      </c>
      <c r="M315" s="12">
        <v>253</v>
      </c>
      <c r="N315" s="14">
        <v>0.41</v>
      </c>
      <c r="O315" s="12">
        <v>150</v>
      </c>
      <c r="P315" s="12">
        <v>220</v>
      </c>
      <c r="Q315" s="12">
        <v>14</v>
      </c>
      <c r="R315" s="13" t="s">
        <v>43</v>
      </c>
      <c r="S315" s="13"/>
      <c r="T315" s="15">
        <v>3000</v>
      </c>
      <c r="U315" s="13" t="s">
        <v>52</v>
      </c>
      <c r="V315" s="13" t="s">
        <v>45</v>
      </c>
      <c r="W315" s="12">
        <v>10</v>
      </c>
      <c r="X315" s="33" t="str">
        <f>HYPERLINK("https://www.alpinabook.ru/catalog/book-v-tebe-est-vse","ссылка на книгу")</f>
        <v>ссылка на книгу</v>
      </c>
      <c r="Y315" s="34" t="str">
        <f>HYPERLINK("https://api-enni.alpina.ru/FilePrivilegesApproval/713","https://api-enni.alpina.ru/FilePrivilegesApproval/713")</f>
        <v>https://api-enni.alpina.ru/FilePrivilegesApproval/713</v>
      </c>
      <c r="Z315" s="13" t="s">
        <v>567</v>
      </c>
      <c r="AT315" s="1">
        <f t="shared" si="40"/>
        <v>0</v>
      </c>
      <c r="AU315" s="1">
        <f t="shared" si="41"/>
        <v>0</v>
      </c>
      <c r="AV315" s="1">
        <f t="shared" si="42"/>
        <v>0</v>
      </c>
      <c r="AW315" s="1">
        <f t="shared" si="43"/>
        <v>0</v>
      </c>
      <c r="AX315" s="1">
        <f t="shared" si="44"/>
        <v>0</v>
      </c>
    </row>
    <row r="316" spans="1:50" s="1" customFormat="1" ht="24.95" customHeight="1" outlineLevel="3" x14ac:dyDescent="0.2">
      <c r="A316" s="11"/>
      <c r="B316" s="12">
        <v>490</v>
      </c>
      <c r="C316" s="12">
        <v>740</v>
      </c>
      <c r="D316" s="12">
        <v>31642</v>
      </c>
      <c r="E316" s="13" t="s">
        <v>66</v>
      </c>
      <c r="F316" s="13" t="s">
        <v>67</v>
      </c>
      <c r="G316" s="13" t="s">
        <v>56</v>
      </c>
      <c r="H316" s="13"/>
      <c r="I316" s="12">
        <v>2025</v>
      </c>
      <c r="J316" s="13" t="s">
        <v>1045</v>
      </c>
      <c r="K316" s="12">
        <v>9785961499704</v>
      </c>
      <c r="L316" s="13" t="s">
        <v>1046</v>
      </c>
      <c r="M316" s="12">
        <v>240</v>
      </c>
      <c r="N316" s="14">
        <v>0.4</v>
      </c>
      <c r="O316" s="12">
        <v>170</v>
      </c>
      <c r="P316" s="12">
        <v>240</v>
      </c>
      <c r="Q316" s="12">
        <v>10</v>
      </c>
      <c r="R316" s="13" t="s">
        <v>94</v>
      </c>
      <c r="S316" s="13"/>
      <c r="T316" s="15">
        <v>3000</v>
      </c>
      <c r="U316" s="13" t="s">
        <v>44</v>
      </c>
      <c r="V316" s="13" t="s">
        <v>45</v>
      </c>
      <c r="W316" s="12">
        <v>10</v>
      </c>
      <c r="X316" s="33" t="str">
        <f>HYPERLINK("https://www.alpinabook.ru/catalog/book-v-tebe-est-vsye-tetrad","ссылка на книгу")</f>
        <v>ссылка на книгу</v>
      </c>
      <c r="Y316" s="34" t="str">
        <f>HYPERLINK("https://api-enni.alpina.ru/FilePrivilegesApproval/713","https://api-enni.alpina.ru/FilePrivilegesApproval/713")</f>
        <v>https://api-enni.alpina.ru/FilePrivilegesApproval/713</v>
      </c>
      <c r="Z316" s="13"/>
      <c r="AT316" s="1">
        <f t="shared" si="40"/>
        <v>0</v>
      </c>
      <c r="AU316" s="1">
        <f t="shared" si="41"/>
        <v>0</v>
      </c>
      <c r="AV316" s="1">
        <f t="shared" si="42"/>
        <v>0</v>
      </c>
      <c r="AW316" s="1">
        <f t="shared" si="43"/>
        <v>0</v>
      </c>
      <c r="AX316" s="1">
        <f t="shared" si="44"/>
        <v>0</v>
      </c>
    </row>
    <row r="317" spans="1:50" s="1" customFormat="1" ht="24.95" customHeight="1" outlineLevel="3" x14ac:dyDescent="0.2">
      <c r="A317" s="11"/>
      <c r="B317" s="12">
        <v>490</v>
      </c>
      <c r="C317" s="12">
        <v>740</v>
      </c>
      <c r="D317" s="12">
        <v>33174</v>
      </c>
      <c r="E317" s="13" t="s">
        <v>66</v>
      </c>
      <c r="F317" s="13" t="s">
        <v>67</v>
      </c>
      <c r="G317" s="13" t="s">
        <v>56</v>
      </c>
      <c r="H317" s="13"/>
      <c r="I317" s="12">
        <v>2025</v>
      </c>
      <c r="J317" s="13" t="s">
        <v>68</v>
      </c>
      <c r="K317" s="12">
        <v>9785006303874</v>
      </c>
      <c r="L317" s="13" t="s">
        <v>69</v>
      </c>
      <c r="M317" s="12">
        <v>240</v>
      </c>
      <c r="N317" s="14">
        <v>0.28999999999999998</v>
      </c>
      <c r="O317" s="12">
        <v>140</v>
      </c>
      <c r="P317" s="12">
        <v>210</v>
      </c>
      <c r="Q317" s="12">
        <v>20</v>
      </c>
      <c r="R317" s="13" t="s">
        <v>43</v>
      </c>
      <c r="S317" s="13"/>
      <c r="T317" s="15">
        <v>3000</v>
      </c>
      <c r="U317" s="13" t="s">
        <v>44</v>
      </c>
      <c r="V317" s="13" t="s">
        <v>45</v>
      </c>
      <c r="W317" s="12">
        <v>10</v>
      </c>
      <c r="X317" s="33" t="str">
        <f>HYPERLINK("https://www.alpinabook.ru/catalog/book-v-tebe-est-vsye-tetrad","ссылка на книгу")</f>
        <v>ссылка на книгу</v>
      </c>
      <c r="Y317" s="34" t="str">
        <f>HYPERLINK("https://api-enni.alpina.ru/FilePrivilegesApproval/713","https://api-enni.alpina.ru/FilePrivilegesApproval/713")</f>
        <v>https://api-enni.alpina.ru/FilePrivilegesApproval/713</v>
      </c>
      <c r="Z317" s="13" t="s">
        <v>70</v>
      </c>
      <c r="AT317" s="1">
        <f t="shared" si="40"/>
        <v>0</v>
      </c>
      <c r="AU317" s="1">
        <f t="shared" si="41"/>
        <v>0</v>
      </c>
      <c r="AV317" s="1">
        <f t="shared" si="42"/>
        <v>0</v>
      </c>
      <c r="AW317" s="1">
        <f t="shared" si="43"/>
        <v>0</v>
      </c>
      <c r="AX317" s="1">
        <f t="shared" si="44"/>
        <v>0</v>
      </c>
    </row>
    <row r="318" spans="1:50" s="1" customFormat="1" ht="24.95" customHeight="1" outlineLevel="3" x14ac:dyDescent="0.2">
      <c r="A318" s="26"/>
      <c r="B318" s="27">
        <v>530</v>
      </c>
      <c r="C318" s="27">
        <v>530</v>
      </c>
      <c r="D318" s="27">
        <v>17213</v>
      </c>
      <c r="E318" s="29" t="s">
        <v>1047</v>
      </c>
      <c r="F318" s="29" t="s">
        <v>1048</v>
      </c>
      <c r="G318" s="29" t="s">
        <v>56</v>
      </c>
      <c r="H318" s="29" t="s">
        <v>40</v>
      </c>
      <c r="I318" s="27">
        <v>2022</v>
      </c>
      <c r="J318" s="29" t="s">
        <v>1049</v>
      </c>
      <c r="K318" s="27">
        <v>9785961433333</v>
      </c>
      <c r="L318" s="29" t="s">
        <v>1050</v>
      </c>
      <c r="M318" s="27">
        <v>232</v>
      </c>
      <c r="N318" s="30">
        <v>0.4</v>
      </c>
      <c r="O318" s="27">
        <v>153</v>
      </c>
      <c r="P318" s="27">
        <v>216</v>
      </c>
      <c r="Q318" s="27">
        <v>14</v>
      </c>
      <c r="R318" s="29" t="s">
        <v>43</v>
      </c>
      <c r="S318" s="29"/>
      <c r="T318" s="28">
        <v>1000</v>
      </c>
      <c r="U318" s="29" t="s">
        <v>52</v>
      </c>
      <c r="V318" s="29" t="s">
        <v>64</v>
      </c>
      <c r="W318" s="27">
        <v>10</v>
      </c>
      <c r="X318" s="37" t="str">
        <f>HYPERLINK("https://www.alpinabook.ru/catalog/book-vash-istochnik-motivatsii","ссылка на книгу")</f>
        <v>ссылка на книгу</v>
      </c>
      <c r="Y318" s="38" t="str">
        <f>HYPERLINK("https://api-enni.alpina.ru/FilePrivilegesApproval/153","https://api-enni.alpina.ru/FilePrivilegesApproval/153")</f>
        <v>https://api-enni.alpina.ru/FilePrivilegesApproval/153</v>
      </c>
      <c r="Z318" s="29"/>
      <c r="AT318" s="1">
        <f t="shared" si="40"/>
        <v>0</v>
      </c>
      <c r="AU318" s="1">
        <f t="shared" si="41"/>
        <v>0</v>
      </c>
      <c r="AV318" s="1">
        <f t="shared" si="42"/>
        <v>0</v>
      </c>
      <c r="AW318" s="1">
        <f t="shared" si="43"/>
        <v>0</v>
      </c>
      <c r="AX318" s="1">
        <f t="shared" si="44"/>
        <v>0</v>
      </c>
    </row>
    <row r="319" spans="1:50" s="1" customFormat="1" ht="24.95" customHeight="1" outlineLevel="3" x14ac:dyDescent="0.2">
      <c r="A319" s="11"/>
      <c r="B319" s="12">
        <v>340</v>
      </c>
      <c r="C319" s="12">
        <v>540</v>
      </c>
      <c r="D319" s="12">
        <v>31265</v>
      </c>
      <c r="E319" s="13" t="s">
        <v>1047</v>
      </c>
      <c r="F319" s="13" t="s">
        <v>1051</v>
      </c>
      <c r="G319" s="13" t="s">
        <v>56</v>
      </c>
      <c r="H319" s="13" t="s">
        <v>40</v>
      </c>
      <c r="I319" s="12">
        <v>2024</v>
      </c>
      <c r="J319" s="13" t="s">
        <v>1052</v>
      </c>
      <c r="K319" s="12">
        <v>9785961498011</v>
      </c>
      <c r="L319" s="13" t="s">
        <v>1053</v>
      </c>
      <c r="M319" s="12">
        <v>266</v>
      </c>
      <c r="N319" s="14">
        <v>0.18</v>
      </c>
      <c r="O319" s="12">
        <v>120</v>
      </c>
      <c r="P319" s="12">
        <v>170</v>
      </c>
      <c r="Q319" s="12">
        <v>20</v>
      </c>
      <c r="R319" s="13" t="s">
        <v>75</v>
      </c>
      <c r="S319" s="13" t="s">
        <v>253</v>
      </c>
      <c r="T319" s="15">
        <v>2000</v>
      </c>
      <c r="U319" s="13" t="s">
        <v>44</v>
      </c>
      <c r="V319" s="13" t="s">
        <v>64</v>
      </c>
      <c r="W319" s="12">
        <v>10</v>
      </c>
      <c r="X319" s="33" t="str">
        <f>HYPERLINK("https://www.alpinabook.ru/catalog/book-vash-istochnik-motivatsii","ссылка на книгу")</f>
        <v>ссылка на книгу</v>
      </c>
      <c r="Y319" s="34" t="str">
        <f>HYPERLINK("https://api-enni.alpina.ru/FilePrivilegesApproval/546","https://api-enni.alpina.ru/FilePrivilegesApproval/546")</f>
        <v>https://api-enni.alpina.ru/FilePrivilegesApproval/546</v>
      </c>
      <c r="Z319" s="13"/>
      <c r="AT319" s="1">
        <f t="shared" si="40"/>
        <v>0</v>
      </c>
      <c r="AU319" s="1">
        <f t="shared" si="41"/>
        <v>0</v>
      </c>
      <c r="AV319" s="1">
        <f t="shared" si="42"/>
        <v>0</v>
      </c>
      <c r="AW319" s="1">
        <f t="shared" si="43"/>
        <v>0</v>
      </c>
      <c r="AX319" s="1">
        <f t="shared" si="44"/>
        <v>0</v>
      </c>
    </row>
    <row r="320" spans="1:50" s="1" customFormat="1" ht="24.95" customHeight="1" outlineLevel="3" x14ac:dyDescent="0.2">
      <c r="A320" s="26"/>
      <c r="B320" s="27">
        <v>790</v>
      </c>
      <c r="C320" s="28">
        <v>1190</v>
      </c>
      <c r="D320" s="27">
        <v>24348</v>
      </c>
      <c r="E320" s="29" t="s">
        <v>1054</v>
      </c>
      <c r="F320" s="29" t="s">
        <v>1055</v>
      </c>
      <c r="G320" s="29" t="s">
        <v>97</v>
      </c>
      <c r="H320" s="29"/>
      <c r="I320" s="27">
        <v>2022</v>
      </c>
      <c r="J320" s="29" t="s">
        <v>1056</v>
      </c>
      <c r="K320" s="27">
        <v>9785907534315</v>
      </c>
      <c r="L320" s="29" t="s">
        <v>1057</v>
      </c>
      <c r="M320" s="27">
        <v>246</v>
      </c>
      <c r="N320" s="30">
        <v>0.5</v>
      </c>
      <c r="O320" s="27">
        <v>168</v>
      </c>
      <c r="P320" s="27">
        <v>241</v>
      </c>
      <c r="Q320" s="27">
        <v>7</v>
      </c>
      <c r="R320" s="29" t="s">
        <v>94</v>
      </c>
      <c r="S320" s="29"/>
      <c r="T320" s="28">
        <v>1400</v>
      </c>
      <c r="U320" s="29" t="s">
        <v>52</v>
      </c>
      <c r="V320" s="29" t="s">
        <v>59</v>
      </c>
      <c r="W320" s="27">
        <v>10</v>
      </c>
      <c r="X320" s="37" t="str">
        <f>HYPERLINK("https://www.alpinabook.ru/catalog/book-vedushchiy-k-tseli","ссылка на книгу")</f>
        <v>ссылка на книгу</v>
      </c>
      <c r="Y320" s="38" t="str">
        <f>HYPERLINK("https://api-enni.alpina.ru/FilePrivilegesApproval/139","https://api-enni.alpina.ru/FilePrivilegesApproval/139")</f>
        <v>https://api-enni.alpina.ru/FilePrivilegesApproval/139</v>
      </c>
      <c r="Z320" s="29"/>
      <c r="AT320" s="1">
        <f t="shared" si="40"/>
        <v>0</v>
      </c>
      <c r="AU320" s="1">
        <f t="shared" si="41"/>
        <v>0</v>
      </c>
      <c r="AV320" s="1">
        <f t="shared" si="42"/>
        <v>0</v>
      </c>
      <c r="AW320" s="1">
        <f t="shared" si="43"/>
        <v>0</v>
      </c>
      <c r="AX320" s="1">
        <f t="shared" si="44"/>
        <v>0</v>
      </c>
    </row>
    <row r="321" spans="1:50" s="1" customFormat="1" ht="24.95" customHeight="1" outlineLevel="3" x14ac:dyDescent="0.2">
      <c r="A321" s="11"/>
      <c r="B321" s="12">
        <v>590</v>
      </c>
      <c r="C321" s="12">
        <v>840</v>
      </c>
      <c r="D321" s="12">
        <v>19023</v>
      </c>
      <c r="E321" s="13" t="s">
        <v>71</v>
      </c>
      <c r="F321" s="13" t="s">
        <v>1058</v>
      </c>
      <c r="G321" s="13" t="s">
        <v>56</v>
      </c>
      <c r="H321" s="13"/>
      <c r="I321" s="12">
        <v>2025</v>
      </c>
      <c r="J321" s="13" t="s">
        <v>1059</v>
      </c>
      <c r="K321" s="12">
        <v>9785961438406</v>
      </c>
      <c r="L321" s="13" t="s">
        <v>1060</v>
      </c>
      <c r="M321" s="12">
        <v>256</v>
      </c>
      <c r="N321" s="14">
        <v>0.43</v>
      </c>
      <c r="O321" s="12">
        <v>150</v>
      </c>
      <c r="P321" s="12">
        <v>220</v>
      </c>
      <c r="Q321" s="12">
        <v>14</v>
      </c>
      <c r="R321" s="13" t="s">
        <v>43</v>
      </c>
      <c r="S321" s="13"/>
      <c r="T321" s="15">
        <v>2000</v>
      </c>
      <c r="U321" s="13" t="s">
        <v>52</v>
      </c>
      <c r="V321" s="13" t="s">
        <v>45</v>
      </c>
      <c r="W321" s="12">
        <v>10</v>
      </c>
      <c r="X321" s="33" t="str">
        <f>HYPERLINK("https://www.alpinabook.ru/catalog/book-vernut-vkus-k-zhizni","ссылка на книгу")</f>
        <v>ссылка на книгу</v>
      </c>
      <c r="Y321" s="34" t="str">
        <f>HYPERLINK("https://api-enni.alpina.ru/FilePrivilegesApproval/152","https://api-enni.alpina.ru/FilePrivilegesApproval/152")</f>
        <v>https://api-enni.alpina.ru/FilePrivilegesApproval/152</v>
      </c>
      <c r="Z321" s="13"/>
      <c r="AT321" s="1">
        <f t="shared" si="40"/>
        <v>0</v>
      </c>
      <c r="AU321" s="1">
        <f t="shared" si="41"/>
        <v>0</v>
      </c>
      <c r="AV321" s="1">
        <f t="shared" si="42"/>
        <v>0</v>
      </c>
      <c r="AW321" s="1">
        <f t="shared" si="43"/>
        <v>0</v>
      </c>
      <c r="AX321" s="1">
        <f t="shared" si="44"/>
        <v>0</v>
      </c>
    </row>
    <row r="322" spans="1:50" s="1" customFormat="1" ht="24.95" customHeight="1" outlineLevel="3" x14ac:dyDescent="0.2">
      <c r="A322" s="11"/>
      <c r="B322" s="12">
        <v>390</v>
      </c>
      <c r="C322" s="12">
        <v>640</v>
      </c>
      <c r="D322" s="12">
        <v>32256</v>
      </c>
      <c r="E322" s="13" t="s">
        <v>71</v>
      </c>
      <c r="F322" s="13" t="s">
        <v>72</v>
      </c>
      <c r="G322" s="13" t="s">
        <v>56</v>
      </c>
      <c r="H322" s="13"/>
      <c r="I322" s="12">
        <v>2025</v>
      </c>
      <c r="J322" s="13" t="s">
        <v>73</v>
      </c>
      <c r="K322" s="12">
        <v>9785006301726</v>
      </c>
      <c r="L322" s="13" t="s">
        <v>74</v>
      </c>
      <c r="M322" s="12">
        <v>316</v>
      </c>
      <c r="N322" s="14">
        <v>0.21</v>
      </c>
      <c r="O322" s="12">
        <v>120</v>
      </c>
      <c r="P322" s="12">
        <v>170</v>
      </c>
      <c r="Q322" s="12">
        <v>36</v>
      </c>
      <c r="R322" s="13" t="s">
        <v>75</v>
      </c>
      <c r="S322" s="13" t="s">
        <v>76</v>
      </c>
      <c r="T322" s="15">
        <v>2000</v>
      </c>
      <c r="U322" s="13" t="s">
        <v>44</v>
      </c>
      <c r="V322" s="13" t="s">
        <v>45</v>
      </c>
      <c r="W322" s="12">
        <v>10</v>
      </c>
      <c r="X322" s="33" t="str">
        <f>HYPERLINK("https://www.alpinabook.ru/catalog/book-vernut-vkus-k-zhizni","ссылка на книгу")</f>
        <v>ссылка на книгу</v>
      </c>
      <c r="Y322" s="34" t="str">
        <f>HYPERLINK("https://api-enni.alpina.ru/FilePrivilegesApproval/221","https://api-enni.alpina.ru/FilePrivilegesApproval/221")</f>
        <v>https://api-enni.alpina.ru/FilePrivilegesApproval/221</v>
      </c>
      <c r="Z322" s="13" t="s">
        <v>77</v>
      </c>
      <c r="AT322" s="1">
        <f t="shared" si="40"/>
        <v>0</v>
      </c>
      <c r="AU322" s="1">
        <f t="shared" si="41"/>
        <v>0</v>
      </c>
      <c r="AV322" s="1">
        <f t="shared" si="42"/>
        <v>0</v>
      </c>
      <c r="AW322" s="1">
        <f t="shared" si="43"/>
        <v>0</v>
      </c>
      <c r="AX322" s="1">
        <f t="shared" si="44"/>
        <v>0</v>
      </c>
    </row>
    <row r="323" spans="1:50" s="1" customFormat="1" ht="24.95" customHeight="1" outlineLevel="3" x14ac:dyDescent="0.2">
      <c r="A323" s="11"/>
      <c r="B323" s="12">
        <v>590</v>
      </c>
      <c r="C323" s="12">
        <v>840</v>
      </c>
      <c r="D323" s="12">
        <v>27482</v>
      </c>
      <c r="E323" s="13" t="s">
        <v>1061</v>
      </c>
      <c r="F323" s="13" t="s">
        <v>1062</v>
      </c>
      <c r="G323" s="13" t="s">
        <v>56</v>
      </c>
      <c r="H323" s="13" t="s">
        <v>40</v>
      </c>
      <c r="I323" s="12">
        <v>2025</v>
      </c>
      <c r="J323" s="13" t="s">
        <v>1063</v>
      </c>
      <c r="K323" s="12">
        <v>9785961485318</v>
      </c>
      <c r="L323" s="13" t="s">
        <v>1064</v>
      </c>
      <c r="M323" s="12">
        <v>416</v>
      </c>
      <c r="N323" s="14">
        <v>0.59</v>
      </c>
      <c r="O323" s="12">
        <v>150</v>
      </c>
      <c r="P323" s="12">
        <v>220</v>
      </c>
      <c r="Q323" s="12">
        <v>10</v>
      </c>
      <c r="R323" s="13" t="s">
        <v>43</v>
      </c>
      <c r="S323" s="13"/>
      <c r="T323" s="15">
        <v>2000</v>
      </c>
      <c r="U323" s="13" t="s">
        <v>52</v>
      </c>
      <c r="V323" s="13" t="s">
        <v>45</v>
      </c>
      <c r="W323" s="12">
        <v>10</v>
      </c>
      <c r="X323" s="33" t="str">
        <f>HYPERLINK("https://www.alpinabook.ru/catalog/book-vernut-energiyu","ссылка на книгу")</f>
        <v>ссылка на книгу</v>
      </c>
      <c r="Y323" s="34" t="str">
        <f>HYPERLINK("https://api-enni.alpina.ru/FilePrivilegesApproval/321","https://api-enni.alpina.ru/FilePrivilegesApproval/321")</f>
        <v>https://api-enni.alpina.ru/FilePrivilegesApproval/321</v>
      </c>
      <c r="Z323" s="13"/>
      <c r="AT323" s="1">
        <f t="shared" si="40"/>
        <v>0</v>
      </c>
      <c r="AU323" s="1">
        <f t="shared" si="41"/>
        <v>0</v>
      </c>
      <c r="AV323" s="1">
        <f t="shared" si="42"/>
        <v>0</v>
      </c>
      <c r="AW323" s="1">
        <f t="shared" si="43"/>
        <v>0</v>
      </c>
      <c r="AX323" s="1">
        <f t="shared" si="44"/>
        <v>0</v>
      </c>
    </row>
    <row r="324" spans="1:50" s="1" customFormat="1" ht="24.95" customHeight="1" outlineLevel="3" x14ac:dyDescent="0.2">
      <c r="A324" s="11"/>
      <c r="B324" s="12">
        <v>690</v>
      </c>
      <c r="C324" s="12">
        <v>990</v>
      </c>
      <c r="D324" s="12">
        <v>30339</v>
      </c>
      <c r="E324" s="13" t="s">
        <v>1065</v>
      </c>
      <c r="F324" s="13" t="s">
        <v>1066</v>
      </c>
      <c r="G324" s="13" t="s">
        <v>56</v>
      </c>
      <c r="H324" s="13" t="s">
        <v>40</v>
      </c>
      <c r="I324" s="12">
        <v>2025</v>
      </c>
      <c r="J324" s="13" t="s">
        <v>1067</v>
      </c>
      <c r="K324" s="12">
        <v>9785961495270</v>
      </c>
      <c r="L324" s="13" t="s">
        <v>1068</v>
      </c>
      <c r="M324" s="12">
        <v>278</v>
      </c>
      <c r="N324" s="14">
        <v>0.35</v>
      </c>
      <c r="O324" s="12">
        <v>150</v>
      </c>
      <c r="P324" s="12">
        <v>210</v>
      </c>
      <c r="Q324" s="12">
        <v>16</v>
      </c>
      <c r="R324" s="13" t="s">
        <v>43</v>
      </c>
      <c r="S324" s="13"/>
      <c r="T324" s="15">
        <v>1500</v>
      </c>
      <c r="U324" s="13" t="s">
        <v>44</v>
      </c>
      <c r="V324" s="13" t="s">
        <v>45</v>
      </c>
      <c r="W324" s="12">
        <v>10</v>
      </c>
      <c r="X324" s="33" t="str">
        <f>HYPERLINK("https://www.alpinabook.ru/catalog/book-vzaimnaya-podderzhka-i-lyubov","ссылка на книгу")</f>
        <v>ссылка на книгу</v>
      </c>
      <c r="Y324" s="34" t="str">
        <f>HYPERLINK("https://api-enni.alpina.ru/FilePrivilegesApproval/758","https://api-enni.alpina.ru/FilePrivilegesApproval/758")</f>
        <v>https://api-enni.alpina.ru/FilePrivilegesApproval/758</v>
      </c>
      <c r="Z324" s="13" t="s">
        <v>295</v>
      </c>
      <c r="AT324" s="1">
        <f t="shared" si="40"/>
        <v>0</v>
      </c>
      <c r="AU324" s="1">
        <f t="shared" si="41"/>
        <v>0</v>
      </c>
      <c r="AV324" s="1">
        <f t="shared" si="42"/>
        <v>0</v>
      </c>
      <c r="AW324" s="1">
        <f t="shared" si="43"/>
        <v>0</v>
      </c>
      <c r="AX324" s="1">
        <f t="shared" si="44"/>
        <v>0</v>
      </c>
    </row>
    <row r="325" spans="1:50" s="1" customFormat="1" ht="24.95" customHeight="1" outlineLevel="3" x14ac:dyDescent="0.2">
      <c r="A325" s="11"/>
      <c r="B325" s="12">
        <v>340</v>
      </c>
      <c r="C325" s="12">
        <v>540</v>
      </c>
      <c r="D325" s="12">
        <v>27421</v>
      </c>
      <c r="E325" s="13" t="s">
        <v>347</v>
      </c>
      <c r="F325" s="13" t="s">
        <v>348</v>
      </c>
      <c r="G325" s="13" t="s">
        <v>56</v>
      </c>
      <c r="H325" s="13" t="s">
        <v>40</v>
      </c>
      <c r="I325" s="12">
        <v>2025</v>
      </c>
      <c r="J325" s="13" t="s">
        <v>349</v>
      </c>
      <c r="K325" s="12">
        <v>9785961485264</v>
      </c>
      <c r="L325" s="13" t="s">
        <v>350</v>
      </c>
      <c r="M325" s="12">
        <v>364</v>
      </c>
      <c r="N325" s="14">
        <v>0.28000000000000003</v>
      </c>
      <c r="O325" s="12">
        <v>120</v>
      </c>
      <c r="P325" s="12">
        <v>170</v>
      </c>
      <c r="Q325" s="12">
        <v>28</v>
      </c>
      <c r="R325" s="13" t="s">
        <v>75</v>
      </c>
      <c r="S325" s="13" t="s">
        <v>76</v>
      </c>
      <c r="T325" s="15">
        <v>3000</v>
      </c>
      <c r="U325" s="13" t="s">
        <v>44</v>
      </c>
      <c r="V325" s="13" t="s">
        <v>59</v>
      </c>
      <c r="W325" s="12">
        <v>10</v>
      </c>
      <c r="X325" s="33" t="str">
        <f>HYPERLINK("https://www.alpinabook.ru/catalog/book-vzlom-psikhologii","ссылка на книгу")</f>
        <v>ссылка на книгу</v>
      </c>
      <c r="Y325" s="34" t="str">
        <f>HYPERLINK("https://api-enni.alpina.ru/FilePrivilegesApproval/202","https://api-enni.alpina.ru/FilePrivilegesApproval/202")</f>
        <v>https://api-enni.alpina.ru/FilePrivilegesApproval/202</v>
      </c>
      <c r="Z325" s="13" t="s">
        <v>46</v>
      </c>
      <c r="AT325" s="1">
        <f t="shared" si="40"/>
        <v>0</v>
      </c>
      <c r="AU325" s="1">
        <f t="shared" si="41"/>
        <v>0</v>
      </c>
      <c r="AV325" s="1">
        <f t="shared" si="42"/>
        <v>0</v>
      </c>
      <c r="AW325" s="1">
        <f t="shared" si="43"/>
        <v>0</v>
      </c>
      <c r="AX325" s="1">
        <f t="shared" si="44"/>
        <v>0</v>
      </c>
    </row>
    <row r="326" spans="1:50" s="1" customFormat="1" ht="24.95" customHeight="1" outlineLevel="3" x14ac:dyDescent="0.2">
      <c r="A326" s="11"/>
      <c r="B326" s="12">
        <v>490</v>
      </c>
      <c r="C326" s="12">
        <v>740</v>
      </c>
      <c r="D326" s="12">
        <v>30377</v>
      </c>
      <c r="E326" s="13" t="s">
        <v>1069</v>
      </c>
      <c r="F326" s="13" t="s">
        <v>1070</v>
      </c>
      <c r="G326" s="13" t="s">
        <v>56</v>
      </c>
      <c r="H326" s="13" t="s">
        <v>200</v>
      </c>
      <c r="I326" s="12">
        <v>2024</v>
      </c>
      <c r="J326" s="13" t="s">
        <v>1071</v>
      </c>
      <c r="K326" s="12">
        <v>9785961495379</v>
      </c>
      <c r="L326" s="13" t="s">
        <v>1072</v>
      </c>
      <c r="M326" s="12">
        <v>152</v>
      </c>
      <c r="N326" s="14">
        <v>0.23</v>
      </c>
      <c r="O326" s="12">
        <v>150</v>
      </c>
      <c r="P326" s="12">
        <v>220</v>
      </c>
      <c r="Q326" s="12">
        <v>20</v>
      </c>
      <c r="R326" s="13" t="s">
        <v>43</v>
      </c>
      <c r="S326" s="13"/>
      <c r="T326" s="15">
        <v>2000</v>
      </c>
      <c r="U326" s="13" t="s">
        <v>52</v>
      </c>
      <c r="V326" s="13" t="s">
        <v>59</v>
      </c>
      <c r="W326" s="12">
        <v>10</v>
      </c>
      <c r="X326" s="33" t="str">
        <f>HYPERLINK("https://www.alpinabook.ru/catalog/book-vozrast-instruktsiya-po-primeneniyu","ссылка на книгу")</f>
        <v>ссылка на книгу</v>
      </c>
      <c r="Y326" s="34" t="str">
        <f>HYPERLINK("https://api-enni.alpina.ru/FilePrivilegesApproval/507","https://api-enni.alpina.ru/FilePrivilegesApproval/507")</f>
        <v>https://api-enni.alpina.ru/FilePrivilegesApproval/507</v>
      </c>
      <c r="Z326" s="13"/>
      <c r="AT326" s="1">
        <f t="shared" si="40"/>
        <v>0</v>
      </c>
      <c r="AU326" s="1">
        <f t="shared" si="41"/>
        <v>0</v>
      </c>
      <c r="AV326" s="1">
        <f t="shared" si="42"/>
        <v>0</v>
      </c>
      <c r="AW326" s="1">
        <f t="shared" si="43"/>
        <v>0</v>
      </c>
      <c r="AX326" s="1">
        <f t="shared" si="44"/>
        <v>0</v>
      </c>
    </row>
    <row r="327" spans="1:50" s="1" customFormat="1" ht="24.95" customHeight="1" outlineLevel="3" x14ac:dyDescent="0.2">
      <c r="A327" s="26"/>
      <c r="B327" s="27">
        <v>730</v>
      </c>
      <c r="C327" s="28">
        <v>1090</v>
      </c>
      <c r="D327" s="27">
        <v>902</v>
      </c>
      <c r="E327" s="29" t="s">
        <v>1073</v>
      </c>
      <c r="F327" s="29" t="s">
        <v>1074</v>
      </c>
      <c r="G327" s="29" t="s">
        <v>56</v>
      </c>
      <c r="H327" s="29" t="s">
        <v>40</v>
      </c>
      <c r="I327" s="27">
        <v>2023</v>
      </c>
      <c r="J327" s="29" t="s">
        <v>1075</v>
      </c>
      <c r="K327" s="27">
        <v>9785961469431</v>
      </c>
      <c r="L327" s="29" t="s">
        <v>1076</v>
      </c>
      <c r="M327" s="27">
        <v>416</v>
      </c>
      <c r="N327" s="30">
        <v>0.54</v>
      </c>
      <c r="O327" s="27">
        <v>163</v>
      </c>
      <c r="P327" s="27">
        <v>235</v>
      </c>
      <c r="Q327" s="27">
        <v>6</v>
      </c>
      <c r="R327" s="29" t="s">
        <v>94</v>
      </c>
      <c r="S327" s="29"/>
      <c r="T327" s="28">
        <v>2000</v>
      </c>
      <c r="U327" s="29" t="s">
        <v>44</v>
      </c>
      <c r="V327" s="29" t="s">
        <v>64</v>
      </c>
      <c r="W327" s="27">
        <v>10</v>
      </c>
      <c r="X327" s="37" t="str">
        <f>HYPERLINK("https://www.alpinabook.ru/catalog/book-vosmoy-navyk","ссылка на книгу")</f>
        <v>ссылка на книгу</v>
      </c>
      <c r="Y327" s="38" t="str">
        <f>HYPERLINK("https://api-enni.alpina.ru/FilePrivilegesApproval/2","https://api-enni.alpina.ru/FilePrivilegesApproval/2")</f>
        <v>https://api-enni.alpina.ru/FilePrivilegesApproval/2</v>
      </c>
      <c r="Z327" s="29"/>
      <c r="AT327" s="1">
        <f t="shared" si="40"/>
        <v>0</v>
      </c>
      <c r="AU327" s="1">
        <f t="shared" si="41"/>
        <v>0</v>
      </c>
      <c r="AV327" s="1">
        <f t="shared" si="42"/>
        <v>0</v>
      </c>
      <c r="AW327" s="1">
        <f t="shared" si="43"/>
        <v>0</v>
      </c>
      <c r="AX327" s="1">
        <f t="shared" si="44"/>
        <v>0</v>
      </c>
    </row>
    <row r="328" spans="1:50" s="1" customFormat="1" ht="24.95" customHeight="1" outlineLevel="3" x14ac:dyDescent="0.2">
      <c r="A328" s="26"/>
      <c r="B328" s="27">
        <v>590</v>
      </c>
      <c r="C328" s="27">
        <v>590</v>
      </c>
      <c r="D328" s="27">
        <v>20570</v>
      </c>
      <c r="E328" s="29" t="s">
        <v>1077</v>
      </c>
      <c r="F328" s="29" t="s">
        <v>1078</v>
      </c>
      <c r="G328" s="29" t="s">
        <v>56</v>
      </c>
      <c r="H328" s="29" t="s">
        <v>40</v>
      </c>
      <c r="I328" s="27">
        <v>2022</v>
      </c>
      <c r="J328" s="29" t="s">
        <v>1079</v>
      </c>
      <c r="K328" s="27">
        <v>9785961440454</v>
      </c>
      <c r="L328" s="29" t="s">
        <v>1080</v>
      </c>
      <c r="M328" s="27">
        <v>324</v>
      </c>
      <c r="N328" s="30">
        <v>0.49</v>
      </c>
      <c r="O328" s="27">
        <v>153</v>
      </c>
      <c r="P328" s="27">
        <v>216</v>
      </c>
      <c r="Q328" s="27">
        <v>12</v>
      </c>
      <c r="R328" s="29" t="s">
        <v>43</v>
      </c>
      <c r="S328" s="29"/>
      <c r="T328" s="28">
        <v>1000</v>
      </c>
      <c r="U328" s="29" t="s">
        <v>52</v>
      </c>
      <c r="V328" s="29" t="s">
        <v>59</v>
      </c>
      <c r="W328" s="27">
        <v>10</v>
      </c>
      <c r="X328" s="37" t="str">
        <f>HYPERLINK("https://www.alpinabook.ru/catalog/book-vrednye-mysli","ссылка на книгу")</f>
        <v>ссылка на книгу</v>
      </c>
      <c r="Y328" s="38" t="str">
        <f>HYPERLINK("https://api-enni.alpina.ru/FilePrivilegesApproval/152","https://api-enni.alpina.ru/FilePrivilegesApproval/152")</f>
        <v>https://api-enni.alpina.ru/FilePrivilegesApproval/152</v>
      </c>
      <c r="Z328" s="29"/>
      <c r="AT328" s="1">
        <f t="shared" si="40"/>
        <v>0</v>
      </c>
      <c r="AU328" s="1">
        <f t="shared" si="41"/>
        <v>0</v>
      </c>
      <c r="AV328" s="1">
        <f t="shared" si="42"/>
        <v>0</v>
      </c>
      <c r="AW328" s="1">
        <f t="shared" si="43"/>
        <v>0</v>
      </c>
      <c r="AX328" s="1">
        <f t="shared" si="44"/>
        <v>0</v>
      </c>
    </row>
    <row r="329" spans="1:50" s="1" customFormat="1" ht="24.95" customHeight="1" outlineLevel="3" x14ac:dyDescent="0.2">
      <c r="A329" s="11"/>
      <c r="B329" s="12">
        <v>340</v>
      </c>
      <c r="C329" s="12">
        <v>540</v>
      </c>
      <c r="D329" s="12">
        <v>29059</v>
      </c>
      <c r="E329" s="13" t="s">
        <v>1077</v>
      </c>
      <c r="F329" s="13" t="s">
        <v>1081</v>
      </c>
      <c r="G329" s="13" t="s">
        <v>56</v>
      </c>
      <c r="H329" s="13" t="s">
        <v>40</v>
      </c>
      <c r="I329" s="12">
        <v>2025</v>
      </c>
      <c r="J329" s="13" t="s">
        <v>1082</v>
      </c>
      <c r="K329" s="12">
        <v>9785961491265</v>
      </c>
      <c r="L329" s="13" t="s">
        <v>1083</v>
      </c>
      <c r="M329" s="12">
        <v>362</v>
      </c>
      <c r="N329" s="14">
        <v>0.24</v>
      </c>
      <c r="O329" s="12">
        <v>120</v>
      </c>
      <c r="P329" s="12">
        <v>170</v>
      </c>
      <c r="Q329" s="12">
        <v>16</v>
      </c>
      <c r="R329" s="13" t="s">
        <v>75</v>
      </c>
      <c r="S329" s="13" t="s">
        <v>76</v>
      </c>
      <c r="T329" s="15">
        <v>2000</v>
      </c>
      <c r="U329" s="13" t="s">
        <v>44</v>
      </c>
      <c r="V329" s="13" t="s">
        <v>59</v>
      </c>
      <c r="W329" s="12">
        <v>10</v>
      </c>
      <c r="X329" s="33" t="str">
        <f>HYPERLINK("https://www.alpinabook.ru/catalog/book-vrednye-mysli","ссылка на книгу")</f>
        <v>ссылка на книгу</v>
      </c>
      <c r="Y329" s="34" t="str">
        <f>HYPERLINK("https://api-enni.alpina.ru/FilePrivilegesApproval/315","https://api-enni.alpina.ru/FilePrivilegesApproval/315")</f>
        <v>https://api-enni.alpina.ru/FilePrivilegesApproval/315</v>
      </c>
      <c r="Z329" s="13" t="s">
        <v>334</v>
      </c>
      <c r="AT329" s="1">
        <f t="shared" si="40"/>
        <v>0</v>
      </c>
      <c r="AU329" s="1">
        <f t="shared" si="41"/>
        <v>0</v>
      </c>
      <c r="AV329" s="1">
        <f t="shared" si="42"/>
        <v>0</v>
      </c>
      <c r="AW329" s="1">
        <f t="shared" si="43"/>
        <v>0</v>
      </c>
      <c r="AX329" s="1">
        <f t="shared" si="44"/>
        <v>0</v>
      </c>
    </row>
    <row r="330" spans="1:50" s="1" customFormat="1" ht="24.95" customHeight="1" outlineLevel="3" x14ac:dyDescent="0.2">
      <c r="A330" s="11"/>
      <c r="B330" s="12">
        <v>590</v>
      </c>
      <c r="C330" s="12">
        <v>840</v>
      </c>
      <c r="D330" s="12">
        <v>28703</v>
      </c>
      <c r="E330" s="13" t="s">
        <v>1084</v>
      </c>
      <c r="F330" s="13" t="s">
        <v>1085</v>
      </c>
      <c r="G330" s="13" t="s">
        <v>56</v>
      </c>
      <c r="H330" s="13" t="s">
        <v>40</v>
      </c>
      <c r="I330" s="12">
        <v>2024</v>
      </c>
      <c r="J330" s="13" t="s">
        <v>1086</v>
      </c>
      <c r="K330" s="12">
        <v>9785961489736</v>
      </c>
      <c r="L330" s="13" t="s">
        <v>1087</v>
      </c>
      <c r="M330" s="12">
        <v>352</v>
      </c>
      <c r="N330" s="14">
        <v>0.44</v>
      </c>
      <c r="O330" s="12">
        <v>140</v>
      </c>
      <c r="P330" s="12">
        <v>210</v>
      </c>
      <c r="Q330" s="12">
        <v>12</v>
      </c>
      <c r="R330" s="13" t="s">
        <v>43</v>
      </c>
      <c r="S330" s="13"/>
      <c r="T330" s="15">
        <v>2000</v>
      </c>
      <c r="U330" s="13" t="s">
        <v>44</v>
      </c>
      <c r="V330" s="13" t="s">
        <v>59</v>
      </c>
      <c r="W330" s="12">
        <v>10</v>
      </c>
      <c r="X330" s="33" t="str">
        <f>HYPERLINK("https://www.alpinabook.ru/catalog/book-vremya-stat-dobree","ссылка на книгу")</f>
        <v>ссылка на книгу</v>
      </c>
      <c r="Y330" s="34" t="str">
        <f>HYPERLINK("https://api-enni.alpina.ru/FilePrivilegesApproval/336","https://api-enni.alpina.ru/FilePrivilegesApproval/336")</f>
        <v>https://api-enni.alpina.ru/FilePrivilegesApproval/336</v>
      </c>
      <c r="Z330" s="13"/>
      <c r="AT330" s="1">
        <f t="shared" si="40"/>
        <v>0</v>
      </c>
      <c r="AU330" s="1">
        <f t="shared" si="41"/>
        <v>0</v>
      </c>
      <c r="AV330" s="1">
        <f t="shared" si="42"/>
        <v>0</v>
      </c>
      <c r="AW330" s="1">
        <f t="shared" si="43"/>
        <v>0</v>
      </c>
      <c r="AX330" s="1">
        <f t="shared" si="44"/>
        <v>0</v>
      </c>
    </row>
    <row r="331" spans="1:50" s="1" customFormat="1" ht="24.95" customHeight="1" outlineLevel="3" x14ac:dyDescent="0.2">
      <c r="A331" s="11"/>
      <c r="B331" s="12">
        <v>490</v>
      </c>
      <c r="C331" s="12">
        <v>740</v>
      </c>
      <c r="D331" s="12">
        <v>27385</v>
      </c>
      <c r="E331" s="13" t="s">
        <v>1088</v>
      </c>
      <c r="F331" s="13" t="s">
        <v>1089</v>
      </c>
      <c r="G331" s="13" t="s">
        <v>56</v>
      </c>
      <c r="H331" s="13" t="s">
        <v>1090</v>
      </c>
      <c r="I331" s="12">
        <v>2023</v>
      </c>
      <c r="J331" s="13" t="s">
        <v>1091</v>
      </c>
      <c r="K331" s="12">
        <v>9785961484779</v>
      </c>
      <c r="L331" s="13" t="s">
        <v>1092</v>
      </c>
      <c r="M331" s="12">
        <v>208</v>
      </c>
      <c r="N331" s="14">
        <v>0.55000000000000004</v>
      </c>
      <c r="O331" s="12">
        <v>170</v>
      </c>
      <c r="P331" s="12">
        <v>250</v>
      </c>
      <c r="Q331" s="12">
        <v>8</v>
      </c>
      <c r="R331" s="13" t="s">
        <v>94</v>
      </c>
      <c r="S331" s="13"/>
      <c r="T331" s="15">
        <v>2500</v>
      </c>
      <c r="U331" s="13" t="s">
        <v>52</v>
      </c>
      <c r="V331" s="13" t="s">
        <v>59</v>
      </c>
      <c r="W331" s="12">
        <v>10</v>
      </c>
      <c r="X331" s="33" t="str">
        <f>HYPERLINK("https://www.alpinabook.ru/catalog/book-vse-nachinaetsya-s-zaboty-o-sebe","ссылка на книгу")</f>
        <v>ссылка на книгу</v>
      </c>
      <c r="Y331" s="34" t="str">
        <f>HYPERLINK("https://api-enni.alpina.ru/FilePrivilegesApproval/307","https://api-enni.alpina.ru/FilePrivilegesApproval/307")</f>
        <v>https://api-enni.alpina.ru/FilePrivilegesApproval/307</v>
      </c>
      <c r="Z331" s="13"/>
      <c r="AT331" s="1">
        <f t="shared" si="40"/>
        <v>0</v>
      </c>
      <c r="AU331" s="1">
        <f t="shared" si="41"/>
        <v>0</v>
      </c>
      <c r="AV331" s="1">
        <f t="shared" si="42"/>
        <v>0</v>
      </c>
      <c r="AW331" s="1">
        <f t="shared" si="43"/>
        <v>0</v>
      </c>
      <c r="AX331" s="1">
        <f t="shared" si="44"/>
        <v>0</v>
      </c>
    </row>
    <row r="332" spans="1:50" s="1" customFormat="1" ht="24.95" customHeight="1" outlineLevel="3" x14ac:dyDescent="0.2">
      <c r="A332" s="11"/>
      <c r="B332" s="12">
        <v>790</v>
      </c>
      <c r="C332" s="15">
        <v>1090</v>
      </c>
      <c r="D332" s="12">
        <v>7046</v>
      </c>
      <c r="E332" s="13" t="s">
        <v>1093</v>
      </c>
      <c r="F332" s="13" t="s">
        <v>1094</v>
      </c>
      <c r="G332" s="13" t="s">
        <v>86</v>
      </c>
      <c r="H332" s="13" t="s">
        <v>40</v>
      </c>
      <c r="I332" s="12">
        <v>2025</v>
      </c>
      <c r="J332" s="13" t="s">
        <v>1095</v>
      </c>
      <c r="K332" s="12">
        <v>9785916717914</v>
      </c>
      <c r="L332" s="13" t="s">
        <v>1096</v>
      </c>
      <c r="M332" s="12">
        <v>356</v>
      </c>
      <c r="N332" s="14">
        <v>0.44</v>
      </c>
      <c r="O332" s="12">
        <v>141</v>
      </c>
      <c r="P332" s="12">
        <v>210</v>
      </c>
      <c r="Q332" s="12">
        <v>12</v>
      </c>
      <c r="R332" s="13" t="s">
        <v>43</v>
      </c>
      <c r="S332" s="13"/>
      <c r="T332" s="15">
        <v>2000</v>
      </c>
      <c r="U332" s="13" t="s">
        <v>44</v>
      </c>
      <c r="V332" s="13" t="s">
        <v>45</v>
      </c>
      <c r="W332" s="12">
        <v>10</v>
      </c>
      <c r="X332" s="33" t="str">
        <f>HYPERLINK("https://www.alpinabook.ru/catalog/book-vyzhivanie-v-dikoy-prirode-i-ekstremalnykh-situatsiyakh","ссылка на книгу")</f>
        <v>ссылка на книгу</v>
      </c>
      <c r="Y332" s="34" t="str">
        <f>HYPERLINK("https://api-enni.alpina.ru/FilePrivilegesApproval/147","https://api-enni.alpina.ru/FilePrivilegesApproval/147")</f>
        <v>https://api-enni.alpina.ru/FilePrivilegesApproval/147</v>
      </c>
      <c r="Z332" s="13"/>
      <c r="AT332" s="1">
        <f t="shared" si="40"/>
        <v>0</v>
      </c>
      <c r="AU332" s="1">
        <f t="shared" si="41"/>
        <v>0</v>
      </c>
      <c r="AV332" s="1">
        <f t="shared" si="42"/>
        <v>0</v>
      </c>
      <c r="AW332" s="1">
        <f t="shared" si="43"/>
        <v>0</v>
      </c>
      <c r="AX332" s="1">
        <f t="shared" si="44"/>
        <v>0</v>
      </c>
    </row>
    <row r="333" spans="1:50" s="1" customFormat="1" ht="24.95" customHeight="1" outlineLevel="3" x14ac:dyDescent="0.2">
      <c r="A333" s="11"/>
      <c r="B333" s="12">
        <v>540</v>
      </c>
      <c r="C333" s="12">
        <v>790</v>
      </c>
      <c r="D333" s="12">
        <v>29151</v>
      </c>
      <c r="E333" s="13" t="s">
        <v>1097</v>
      </c>
      <c r="F333" s="13" t="s">
        <v>1098</v>
      </c>
      <c r="G333" s="13" t="s">
        <v>56</v>
      </c>
      <c r="H333" s="13" t="s">
        <v>40</v>
      </c>
      <c r="I333" s="12">
        <v>2024</v>
      </c>
      <c r="J333" s="13" t="s">
        <v>1099</v>
      </c>
      <c r="K333" s="12">
        <v>9785961491623</v>
      </c>
      <c r="L333" s="13" t="s">
        <v>1100</v>
      </c>
      <c r="M333" s="12">
        <v>184</v>
      </c>
      <c r="N333" s="14">
        <v>0.35</v>
      </c>
      <c r="O333" s="12">
        <v>150</v>
      </c>
      <c r="P333" s="12">
        <v>220</v>
      </c>
      <c r="Q333" s="12">
        <v>16</v>
      </c>
      <c r="R333" s="13" t="s">
        <v>43</v>
      </c>
      <c r="S333" s="13"/>
      <c r="T333" s="15">
        <v>2000</v>
      </c>
      <c r="U333" s="13" t="s">
        <v>52</v>
      </c>
      <c r="V333" s="13" t="s">
        <v>45</v>
      </c>
      <c r="W333" s="12">
        <v>10</v>
      </c>
      <c r="X333" s="33" t="str">
        <f>HYPERLINK("https://www.alpinabook.ru/catalog/book-vyyti-iz-kolei","ссылка на книгу")</f>
        <v>ссылка на книгу</v>
      </c>
      <c r="Y333" s="34" t="str">
        <f>HYPERLINK("https://api-enni.alpina.ru/FilePrivilegesApproval/376","https://api-enni.alpina.ru/FilePrivilegesApproval/376")</f>
        <v>https://api-enni.alpina.ru/FilePrivilegesApproval/376</v>
      </c>
      <c r="Z333" s="13"/>
      <c r="AT333" s="1">
        <f t="shared" si="40"/>
        <v>0</v>
      </c>
      <c r="AU333" s="1">
        <f t="shared" si="41"/>
        <v>0</v>
      </c>
      <c r="AV333" s="1">
        <f t="shared" si="42"/>
        <v>0</v>
      </c>
      <c r="AW333" s="1">
        <f t="shared" si="43"/>
        <v>0</v>
      </c>
      <c r="AX333" s="1">
        <f t="shared" si="44"/>
        <v>0</v>
      </c>
    </row>
    <row r="334" spans="1:50" s="1" customFormat="1" ht="24.95" customHeight="1" outlineLevel="3" x14ac:dyDescent="0.2">
      <c r="A334" s="26"/>
      <c r="B334" s="27">
        <v>540</v>
      </c>
      <c r="C334" s="27">
        <v>540</v>
      </c>
      <c r="D334" s="27">
        <v>7350</v>
      </c>
      <c r="E334" s="29" t="s">
        <v>1101</v>
      </c>
      <c r="F334" s="29" t="s">
        <v>1102</v>
      </c>
      <c r="G334" s="29" t="s">
        <v>56</v>
      </c>
      <c r="H334" s="29" t="s">
        <v>40</v>
      </c>
      <c r="I334" s="27">
        <v>2018</v>
      </c>
      <c r="J334" s="29" t="s">
        <v>1103</v>
      </c>
      <c r="K334" s="27">
        <v>9785961465495</v>
      </c>
      <c r="L334" s="29" t="s">
        <v>1104</v>
      </c>
      <c r="M334" s="27">
        <v>272</v>
      </c>
      <c r="N334" s="30">
        <v>0.33</v>
      </c>
      <c r="O334" s="27">
        <v>148</v>
      </c>
      <c r="P334" s="27">
        <v>210</v>
      </c>
      <c r="Q334" s="27">
        <v>14</v>
      </c>
      <c r="R334" s="29" t="s">
        <v>43</v>
      </c>
      <c r="S334" s="29"/>
      <c r="T334" s="28">
        <v>2000</v>
      </c>
      <c r="U334" s="29" t="s">
        <v>44</v>
      </c>
      <c r="V334" s="29" t="s">
        <v>64</v>
      </c>
      <c r="W334" s="27">
        <v>10</v>
      </c>
      <c r="X334" s="37" t="str">
        <f>HYPERLINK("https://www.alpinabook.ru/catalog/book-372596","ссылка на книгу")</f>
        <v>ссылка на книгу</v>
      </c>
      <c r="Y334" s="38" t="str">
        <f>HYPERLINK("https://api-enni.alpina.ru/FilePrivilegesApproval/2","https://api-enni.alpina.ru/FilePrivilegesApproval/2")</f>
        <v>https://api-enni.alpina.ru/FilePrivilegesApproval/2</v>
      </c>
      <c r="Z334" s="29"/>
      <c r="AT334" s="1">
        <f t="shared" si="40"/>
        <v>0</v>
      </c>
      <c r="AU334" s="1">
        <f t="shared" si="41"/>
        <v>0</v>
      </c>
      <c r="AV334" s="1">
        <f t="shared" si="42"/>
        <v>0</v>
      </c>
      <c r="AW334" s="1">
        <f t="shared" si="43"/>
        <v>0</v>
      </c>
      <c r="AX334" s="1">
        <f t="shared" si="44"/>
        <v>0</v>
      </c>
    </row>
    <row r="335" spans="1:50" s="1" customFormat="1" ht="24.95" customHeight="1" outlineLevel="3" x14ac:dyDescent="0.2">
      <c r="A335" s="11"/>
      <c r="B335" s="12">
        <v>550</v>
      </c>
      <c r="C335" s="12">
        <v>790</v>
      </c>
      <c r="D335" s="12">
        <v>31639</v>
      </c>
      <c r="E335" s="13" t="s">
        <v>78</v>
      </c>
      <c r="F335" s="13" t="s">
        <v>79</v>
      </c>
      <c r="G335" s="13" t="s">
        <v>56</v>
      </c>
      <c r="H335" s="13"/>
      <c r="I335" s="12">
        <v>2025</v>
      </c>
      <c r="J335" s="13" t="s">
        <v>80</v>
      </c>
      <c r="K335" s="12">
        <v>9785961499681</v>
      </c>
      <c r="L335" s="13" t="s">
        <v>81</v>
      </c>
      <c r="M335" s="12">
        <v>265</v>
      </c>
      <c r="N335" s="14">
        <v>0.36</v>
      </c>
      <c r="O335" s="12">
        <v>140</v>
      </c>
      <c r="P335" s="12">
        <v>210</v>
      </c>
      <c r="Q335" s="12">
        <v>14</v>
      </c>
      <c r="R335" s="13" t="s">
        <v>82</v>
      </c>
      <c r="S335" s="13"/>
      <c r="T335" s="15">
        <v>3000</v>
      </c>
      <c r="U335" s="13" t="s">
        <v>52</v>
      </c>
      <c r="V335" s="13" t="s">
        <v>45</v>
      </c>
      <c r="W335" s="12">
        <v>10</v>
      </c>
      <c r="X335" s="33" t="str">
        <f>HYPERLINK("https://www.alpinabook.ru/catalog/book-god-odinokikh","ссылка на книгу")</f>
        <v>ссылка на книгу</v>
      </c>
      <c r="Y335" s="34" t="str">
        <f>HYPERLINK("https://api-enni.alpina.ru/FilePrivilegesApproval/856","https://api-enni.alpina.ru/FilePrivilegesApproval/856")</f>
        <v>https://api-enni.alpina.ru/FilePrivilegesApproval/856</v>
      </c>
      <c r="Z335" s="13" t="s">
        <v>83</v>
      </c>
      <c r="AT335" s="1">
        <f t="shared" si="40"/>
        <v>0</v>
      </c>
      <c r="AU335" s="1">
        <f t="shared" si="41"/>
        <v>0</v>
      </c>
      <c r="AV335" s="1">
        <f t="shared" si="42"/>
        <v>0</v>
      </c>
      <c r="AW335" s="1">
        <f t="shared" si="43"/>
        <v>0</v>
      </c>
      <c r="AX335" s="1">
        <f t="shared" si="44"/>
        <v>0</v>
      </c>
    </row>
    <row r="336" spans="1:50" s="1" customFormat="1" ht="24.95" customHeight="1" outlineLevel="3" x14ac:dyDescent="0.2">
      <c r="A336" s="11"/>
      <c r="B336" s="12">
        <v>690</v>
      </c>
      <c r="C336" s="12">
        <v>790</v>
      </c>
      <c r="D336" s="12">
        <v>26558</v>
      </c>
      <c r="E336" s="13" t="s">
        <v>1105</v>
      </c>
      <c r="F336" s="13" t="s">
        <v>1106</v>
      </c>
      <c r="G336" s="13" t="s">
        <v>97</v>
      </c>
      <c r="H336" s="13"/>
      <c r="I336" s="12">
        <v>2023</v>
      </c>
      <c r="J336" s="13" t="s">
        <v>1107</v>
      </c>
      <c r="K336" s="12">
        <v>9785206000856</v>
      </c>
      <c r="L336" s="13" t="s">
        <v>1108</v>
      </c>
      <c r="M336" s="12">
        <v>156</v>
      </c>
      <c r="N336" s="14">
        <v>0.21</v>
      </c>
      <c r="O336" s="12">
        <v>141</v>
      </c>
      <c r="P336" s="12">
        <v>210</v>
      </c>
      <c r="Q336" s="12">
        <v>22</v>
      </c>
      <c r="R336" s="13" t="s">
        <v>43</v>
      </c>
      <c r="S336" s="13"/>
      <c r="T336" s="15">
        <v>2000</v>
      </c>
      <c r="U336" s="13" t="s">
        <v>44</v>
      </c>
      <c r="V336" s="13" t="s">
        <v>59</v>
      </c>
      <c r="W336" s="12">
        <v>10</v>
      </c>
      <c r="X336" s="33" t="str">
        <f>HYPERLINK("https://www.alpinabook.ru/catalog/book-davay-seychas","ссылка на книгу")</f>
        <v>ссылка на книгу</v>
      </c>
      <c r="Y336" s="34" t="str">
        <f>HYPERLINK("https://api-enni.alpina.ru/FilePrivilegesApproval/167","https://api-enni.alpina.ru/FilePrivilegesApproval/167")</f>
        <v>https://api-enni.alpina.ru/FilePrivilegesApproval/167</v>
      </c>
      <c r="Z336" s="13"/>
      <c r="AT336" s="1">
        <f t="shared" si="40"/>
        <v>0</v>
      </c>
      <c r="AU336" s="1">
        <f t="shared" si="41"/>
        <v>0</v>
      </c>
      <c r="AV336" s="1">
        <f t="shared" si="42"/>
        <v>0</v>
      </c>
      <c r="AW336" s="1">
        <f t="shared" si="43"/>
        <v>0</v>
      </c>
      <c r="AX336" s="1">
        <f t="shared" si="44"/>
        <v>0</v>
      </c>
    </row>
    <row r="337" spans="1:50" s="1" customFormat="1" ht="24.95" customHeight="1" outlineLevel="3" x14ac:dyDescent="0.2">
      <c r="A337" s="11"/>
      <c r="B337" s="12">
        <v>590</v>
      </c>
      <c r="C337" s="12">
        <v>590</v>
      </c>
      <c r="D337" s="12">
        <v>25605</v>
      </c>
      <c r="E337" s="13" t="s">
        <v>1109</v>
      </c>
      <c r="F337" s="13" t="s">
        <v>1110</v>
      </c>
      <c r="G337" s="13" t="s">
        <v>56</v>
      </c>
      <c r="H337" s="13" t="s">
        <v>40</v>
      </c>
      <c r="I337" s="12">
        <v>2023</v>
      </c>
      <c r="J337" s="13" t="s">
        <v>1111</v>
      </c>
      <c r="K337" s="12">
        <v>9785961478235</v>
      </c>
      <c r="L337" s="13" t="s">
        <v>1112</v>
      </c>
      <c r="M337" s="12">
        <v>294</v>
      </c>
      <c r="N337" s="14">
        <v>0.45</v>
      </c>
      <c r="O337" s="12">
        <v>146</v>
      </c>
      <c r="P337" s="12">
        <v>216</v>
      </c>
      <c r="Q337" s="12">
        <v>12</v>
      </c>
      <c r="R337" s="13" t="s">
        <v>43</v>
      </c>
      <c r="S337" s="13"/>
      <c r="T337" s="15">
        <v>3000</v>
      </c>
      <c r="U337" s="13" t="s">
        <v>52</v>
      </c>
      <c r="V337" s="13" t="s">
        <v>64</v>
      </c>
      <c r="W337" s="12">
        <v>10</v>
      </c>
      <c r="X337" s="33" t="str">
        <f>HYPERLINK("https://www.alpinabook.ru/catalog/book-high-five","ссылка на книгу")</f>
        <v>ссылка на книгу</v>
      </c>
      <c r="Y337" s="34" t="str">
        <f>HYPERLINK("https://api-enni.alpina.ru/FilePrivilegesApproval/163","https://api-enni.alpina.ru/FilePrivilegesApproval/163")</f>
        <v>https://api-enni.alpina.ru/FilePrivilegesApproval/163</v>
      </c>
      <c r="Z337" s="13"/>
      <c r="AT337" s="1">
        <f t="shared" si="40"/>
        <v>0</v>
      </c>
      <c r="AU337" s="1">
        <f t="shared" si="41"/>
        <v>0</v>
      </c>
      <c r="AV337" s="1">
        <f t="shared" si="42"/>
        <v>0</v>
      </c>
      <c r="AW337" s="1">
        <f t="shared" si="43"/>
        <v>0</v>
      </c>
      <c r="AX337" s="1">
        <f t="shared" si="44"/>
        <v>0</v>
      </c>
    </row>
    <row r="338" spans="1:50" s="1" customFormat="1" ht="24.95" customHeight="1" outlineLevel="3" x14ac:dyDescent="0.2">
      <c r="A338" s="11"/>
      <c r="B338" s="12">
        <v>490</v>
      </c>
      <c r="C338" s="12">
        <v>690</v>
      </c>
      <c r="D338" s="12">
        <v>23467</v>
      </c>
      <c r="E338" s="13" t="s">
        <v>1113</v>
      </c>
      <c r="F338" s="13" t="s">
        <v>1114</v>
      </c>
      <c r="G338" s="13" t="s">
        <v>56</v>
      </c>
      <c r="H338" s="13" t="s">
        <v>40</v>
      </c>
      <c r="I338" s="12">
        <v>2025</v>
      </c>
      <c r="J338" s="13" t="s">
        <v>1115</v>
      </c>
      <c r="K338" s="12">
        <v>9785961478211</v>
      </c>
      <c r="L338" s="13" t="s">
        <v>1116</v>
      </c>
      <c r="M338" s="12">
        <v>188</v>
      </c>
      <c r="N338" s="14">
        <v>0.24</v>
      </c>
      <c r="O338" s="12">
        <v>140</v>
      </c>
      <c r="P338" s="12">
        <v>210</v>
      </c>
      <c r="Q338" s="12">
        <v>20</v>
      </c>
      <c r="R338" s="13" t="s">
        <v>43</v>
      </c>
      <c r="S338" s="13" t="s">
        <v>779</v>
      </c>
      <c r="T338" s="15">
        <v>3000</v>
      </c>
      <c r="U338" s="13" t="s">
        <v>44</v>
      </c>
      <c r="V338" s="13" t="s">
        <v>269</v>
      </c>
      <c r="W338" s="12">
        <v>10</v>
      </c>
      <c r="X338" s="33" t="str">
        <f>HYPERLINK("https://www.alpinabook.ru/catalog/book-dvorets-pamyati","ссылка на книгу")</f>
        <v>ссылка на книгу</v>
      </c>
      <c r="Y338" s="34" t="str">
        <f>HYPERLINK("https://api-enni.alpina.ru/FilePrivilegesApproval/157","https://api-enni.alpina.ru/FilePrivilegesApproval/157")</f>
        <v>https://api-enni.alpina.ru/FilePrivilegesApproval/157</v>
      </c>
      <c r="Z338" s="13"/>
      <c r="AT338" s="1">
        <f t="shared" si="40"/>
        <v>0</v>
      </c>
      <c r="AU338" s="1">
        <f t="shared" si="41"/>
        <v>0</v>
      </c>
      <c r="AV338" s="1">
        <f t="shared" si="42"/>
        <v>0</v>
      </c>
      <c r="AW338" s="1">
        <f t="shared" si="43"/>
        <v>0</v>
      </c>
      <c r="AX338" s="1">
        <f t="shared" si="44"/>
        <v>0</v>
      </c>
    </row>
    <row r="339" spans="1:50" s="1" customFormat="1" ht="24.95" customHeight="1" outlineLevel="3" x14ac:dyDescent="0.2">
      <c r="A339" s="11"/>
      <c r="B339" s="12">
        <v>340</v>
      </c>
      <c r="C339" s="12">
        <v>540</v>
      </c>
      <c r="D339" s="12">
        <v>31018</v>
      </c>
      <c r="E339" s="13" t="s">
        <v>1117</v>
      </c>
      <c r="F339" s="13" t="s">
        <v>1118</v>
      </c>
      <c r="G339" s="13" t="s">
        <v>56</v>
      </c>
      <c r="H339" s="13" t="s">
        <v>40</v>
      </c>
      <c r="I339" s="12">
        <v>2024</v>
      </c>
      <c r="J339" s="13" t="s">
        <v>1119</v>
      </c>
      <c r="K339" s="12">
        <v>9785961497199</v>
      </c>
      <c r="L339" s="13" t="s">
        <v>1120</v>
      </c>
      <c r="M339" s="12">
        <v>383</v>
      </c>
      <c r="N339" s="14">
        <v>0.25</v>
      </c>
      <c r="O339" s="12">
        <v>110</v>
      </c>
      <c r="P339" s="12">
        <v>170</v>
      </c>
      <c r="Q339" s="12">
        <v>12</v>
      </c>
      <c r="R339" s="13" t="s">
        <v>75</v>
      </c>
      <c r="S339" s="13" t="s">
        <v>1121</v>
      </c>
      <c r="T339" s="15">
        <v>2000</v>
      </c>
      <c r="U339" s="13" t="s">
        <v>44</v>
      </c>
      <c r="V339" s="13" t="s">
        <v>269</v>
      </c>
      <c r="W339" s="12">
        <v>10</v>
      </c>
      <c r="X339" s="33" t="str">
        <f>HYPERLINK("https://www.alpinabook.ru/catalog/book-devyat-printsipov-zhizni-so-smyslom","ссылка на книгу")</f>
        <v>ссылка на книгу</v>
      </c>
      <c r="Y339" s="34" t="str">
        <f>HYPERLINK("https://api-enni.alpina.ru/FilePrivilegesApproval/507","https://api-enni.alpina.ru/FilePrivilegesApproval/507")</f>
        <v>https://api-enni.alpina.ru/FilePrivilegesApproval/507</v>
      </c>
      <c r="Z339" s="13"/>
      <c r="AT339" s="1">
        <f t="shared" si="40"/>
        <v>0</v>
      </c>
      <c r="AU339" s="1">
        <f t="shared" si="41"/>
        <v>0</v>
      </c>
      <c r="AV339" s="1">
        <f t="shared" si="42"/>
        <v>0</v>
      </c>
      <c r="AW339" s="1">
        <f t="shared" si="43"/>
        <v>0</v>
      </c>
      <c r="AX339" s="1">
        <f t="shared" si="44"/>
        <v>0</v>
      </c>
    </row>
    <row r="340" spans="1:50" s="1" customFormat="1" ht="24.95" customHeight="1" outlineLevel="3" x14ac:dyDescent="0.2">
      <c r="A340" s="11"/>
      <c r="B340" s="12">
        <v>540</v>
      </c>
      <c r="C340" s="12">
        <v>790</v>
      </c>
      <c r="D340" s="12">
        <v>27794</v>
      </c>
      <c r="E340" s="13" t="s">
        <v>1122</v>
      </c>
      <c r="F340" s="13" t="s">
        <v>1123</v>
      </c>
      <c r="G340" s="13" t="s">
        <v>56</v>
      </c>
      <c r="H340" s="13" t="s">
        <v>40</v>
      </c>
      <c r="I340" s="12">
        <v>2023</v>
      </c>
      <c r="J340" s="13" t="s">
        <v>1124</v>
      </c>
      <c r="K340" s="12">
        <v>9785961486414</v>
      </c>
      <c r="L340" s="13" t="s">
        <v>1125</v>
      </c>
      <c r="M340" s="12">
        <v>272</v>
      </c>
      <c r="N340" s="14">
        <v>0.32</v>
      </c>
      <c r="O340" s="12">
        <v>140</v>
      </c>
      <c r="P340" s="12">
        <v>210</v>
      </c>
      <c r="Q340" s="12">
        <v>10</v>
      </c>
      <c r="R340" s="13" t="s">
        <v>43</v>
      </c>
      <c r="S340" s="13"/>
      <c r="T340" s="15">
        <v>2000</v>
      </c>
      <c r="U340" s="13" t="s">
        <v>44</v>
      </c>
      <c r="V340" s="13" t="s">
        <v>59</v>
      </c>
      <c r="W340" s="12">
        <v>10</v>
      </c>
      <c r="X340" s="33" t="str">
        <f>HYPERLINK("https://www.alpinabook.ru/catalog/book-delayu-chto-hochu","ссылка на книгу")</f>
        <v>ссылка на книгу</v>
      </c>
      <c r="Y340" s="34" t="str">
        <f>HYPERLINK("https://api-enni.alpina.ru/FilePrivilegesApproval/313","https://api-enni.alpina.ru/FilePrivilegesApproval/313")</f>
        <v>https://api-enni.alpina.ru/FilePrivilegesApproval/313</v>
      </c>
      <c r="Z340" s="13"/>
      <c r="AT340" s="1">
        <f t="shared" si="40"/>
        <v>0</v>
      </c>
      <c r="AU340" s="1">
        <f t="shared" si="41"/>
        <v>0</v>
      </c>
      <c r="AV340" s="1">
        <f t="shared" si="42"/>
        <v>0</v>
      </c>
      <c r="AW340" s="1">
        <f t="shared" si="43"/>
        <v>0</v>
      </c>
      <c r="AX340" s="1">
        <f t="shared" si="44"/>
        <v>0</v>
      </c>
    </row>
    <row r="341" spans="1:50" s="1" customFormat="1" ht="24.95" customHeight="1" outlineLevel="3" x14ac:dyDescent="0.2">
      <c r="A341" s="11"/>
      <c r="B341" s="12">
        <v>790</v>
      </c>
      <c r="C341" s="15">
        <v>1190</v>
      </c>
      <c r="D341" s="12">
        <v>27533</v>
      </c>
      <c r="E341" s="13" t="s">
        <v>1126</v>
      </c>
      <c r="F341" s="13" t="s">
        <v>1127</v>
      </c>
      <c r="G341" s="13" t="s">
        <v>56</v>
      </c>
      <c r="H341" s="13" t="s">
        <v>40</v>
      </c>
      <c r="I341" s="12">
        <v>2023</v>
      </c>
      <c r="J341" s="13" t="s">
        <v>1128</v>
      </c>
      <c r="K341" s="12">
        <v>9785961485523</v>
      </c>
      <c r="L341" s="13" t="s">
        <v>1129</v>
      </c>
      <c r="M341" s="12">
        <v>262</v>
      </c>
      <c r="N341" s="14">
        <v>0.41</v>
      </c>
      <c r="O341" s="12">
        <v>150</v>
      </c>
      <c r="P341" s="12">
        <v>220</v>
      </c>
      <c r="Q341" s="12">
        <v>16</v>
      </c>
      <c r="R341" s="13" t="s">
        <v>43</v>
      </c>
      <c r="S341" s="13"/>
      <c r="T341" s="15">
        <v>2000</v>
      </c>
      <c r="U341" s="13" t="s">
        <v>52</v>
      </c>
      <c r="V341" s="13" t="s">
        <v>59</v>
      </c>
      <c r="W341" s="12">
        <v>10</v>
      </c>
      <c r="X341" s="33" t="str">
        <f>HYPERLINK("https://www.alpinabook.ru/catalog/book-dementsiya","ссылка на книгу")</f>
        <v>ссылка на книгу</v>
      </c>
      <c r="Y341" s="34" t="str">
        <f>HYPERLINK("https://api-enni.alpina.ru/FilePrivilegesApproval/302","https://api-enni.alpina.ru/FilePrivilegesApproval/302")</f>
        <v>https://api-enni.alpina.ru/FilePrivilegesApproval/302</v>
      </c>
      <c r="Z341" s="13"/>
      <c r="AT341" s="1">
        <f t="shared" si="40"/>
        <v>0</v>
      </c>
      <c r="AU341" s="1">
        <f t="shared" si="41"/>
        <v>0</v>
      </c>
      <c r="AV341" s="1">
        <f t="shared" si="42"/>
        <v>0</v>
      </c>
      <c r="AW341" s="1">
        <f t="shared" si="43"/>
        <v>0</v>
      </c>
      <c r="AX341" s="1">
        <f t="shared" si="44"/>
        <v>0</v>
      </c>
    </row>
    <row r="342" spans="1:50" s="1" customFormat="1" ht="24.95" customHeight="1" outlineLevel="3" x14ac:dyDescent="0.2">
      <c r="A342" s="11"/>
      <c r="B342" s="12">
        <v>540</v>
      </c>
      <c r="C342" s="12">
        <v>540</v>
      </c>
      <c r="D342" s="12">
        <v>25045</v>
      </c>
      <c r="E342" s="13" t="s">
        <v>1130</v>
      </c>
      <c r="F342" s="13" t="s">
        <v>1131</v>
      </c>
      <c r="G342" s="13" t="s">
        <v>97</v>
      </c>
      <c r="H342" s="13"/>
      <c r="I342" s="12">
        <v>2022</v>
      </c>
      <c r="J342" s="13" t="s">
        <v>1132</v>
      </c>
      <c r="K342" s="12">
        <v>9785907534391</v>
      </c>
      <c r="L342" s="13" t="s">
        <v>1133</v>
      </c>
      <c r="M342" s="12">
        <v>110</v>
      </c>
      <c r="N342" s="14">
        <v>0.15</v>
      </c>
      <c r="O342" s="12">
        <v>141</v>
      </c>
      <c r="P342" s="12">
        <v>210</v>
      </c>
      <c r="Q342" s="12">
        <v>30</v>
      </c>
      <c r="R342" s="13" t="s">
        <v>43</v>
      </c>
      <c r="S342" s="13"/>
      <c r="T342" s="15">
        <v>1500</v>
      </c>
      <c r="U342" s="13" t="s">
        <v>44</v>
      </c>
      <c r="V342" s="13" t="s">
        <v>59</v>
      </c>
      <c r="W342" s="12">
        <v>10</v>
      </c>
      <c r="X342" s="33" t="str">
        <f>HYPERLINK("https://www.alpinabook.ru/catalog/book-derzhi-balans","ссылка на книгу")</f>
        <v>ссылка на книгу</v>
      </c>
      <c r="Y342" s="34" t="str">
        <f>HYPERLINK("https://api-enni.alpina.ru/FilePrivilegesApproval/139","https://api-enni.alpina.ru/FilePrivilegesApproval/139")</f>
        <v>https://api-enni.alpina.ru/FilePrivilegesApproval/139</v>
      </c>
      <c r="Z342" s="13"/>
      <c r="AT342" s="1">
        <f t="shared" si="40"/>
        <v>0</v>
      </c>
      <c r="AU342" s="1">
        <f t="shared" si="41"/>
        <v>0</v>
      </c>
      <c r="AV342" s="1">
        <f t="shared" si="42"/>
        <v>0</v>
      </c>
      <c r="AW342" s="1">
        <f t="shared" si="43"/>
        <v>0</v>
      </c>
      <c r="AX342" s="1">
        <f t="shared" si="44"/>
        <v>0</v>
      </c>
    </row>
    <row r="343" spans="1:50" s="1" customFormat="1" ht="24.95" customHeight="1" outlineLevel="3" x14ac:dyDescent="0.2">
      <c r="A343" s="11"/>
      <c r="B343" s="12">
        <v>340</v>
      </c>
      <c r="C343" s="12">
        <v>540</v>
      </c>
      <c r="D343" s="12">
        <v>30358</v>
      </c>
      <c r="E343" s="13" t="s">
        <v>1134</v>
      </c>
      <c r="F343" s="13" t="s">
        <v>1135</v>
      </c>
      <c r="G343" s="13" t="s">
        <v>56</v>
      </c>
      <c r="H343" s="13" t="s">
        <v>40</v>
      </c>
      <c r="I343" s="12">
        <v>2025</v>
      </c>
      <c r="J343" s="13" t="s">
        <v>1136</v>
      </c>
      <c r="K343" s="12">
        <v>9785961495317</v>
      </c>
      <c r="L343" s="13" t="s">
        <v>1137</v>
      </c>
      <c r="M343" s="12">
        <v>336</v>
      </c>
      <c r="N343" s="14">
        <v>0.22</v>
      </c>
      <c r="O343" s="12">
        <v>120</v>
      </c>
      <c r="P343" s="12">
        <v>170</v>
      </c>
      <c r="Q343" s="12">
        <v>18</v>
      </c>
      <c r="R343" s="13" t="s">
        <v>75</v>
      </c>
      <c r="S343" s="13" t="s">
        <v>253</v>
      </c>
      <c r="T343" s="15">
        <v>2000</v>
      </c>
      <c r="U343" s="13" t="s">
        <v>44</v>
      </c>
      <c r="V343" s="13" t="s">
        <v>64</v>
      </c>
      <c r="W343" s="12">
        <v>10</v>
      </c>
      <c r="X343" s="33" t="str">
        <f>HYPERLINK("https://www.alpinabook.ru/catalog/book-dizayn-vashey-zhizni","ссылка на книгу")</f>
        <v>ссылка на книгу</v>
      </c>
      <c r="Y343" s="34" t="str">
        <f>HYPERLINK("https://api-enni.alpina.ru/FilePrivilegesApproval/221","https://api-enni.alpina.ru/FilePrivilegesApproval/221")</f>
        <v>https://api-enni.alpina.ru/FilePrivilegesApproval/221</v>
      </c>
      <c r="Z343" s="13" t="s">
        <v>954</v>
      </c>
      <c r="AT343" s="1">
        <f t="shared" si="40"/>
        <v>0</v>
      </c>
      <c r="AU343" s="1">
        <f t="shared" si="41"/>
        <v>0</v>
      </c>
      <c r="AV343" s="1">
        <f t="shared" si="42"/>
        <v>0</v>
      </c>
      <c r="AW343" s="1">
        <f t="shared" si="43"/>
        <v>0</v>
      </c>
      <c r="AX343" s="1">
        <f t="shared" si="44"/>
        <v>0</v>
      </c>
    </row>
    <row r="344" spans="1:50" s="1" customFormat="1" ht="24.95" customHeight="1" outlineLevel="3" x14ac:dyDescent="0.2">
      <c r="A344" s="11"/>
      <c r="B344" s="12">
        <v>340</v>
      </c>
      <c r="C344" s="12">
        <v>540</v>
      </c>
      <c r="D344" s="12">
        <v>31760</v>
      </c>
      <c r="E344" s="13" t="s">
        <v>1134</v>
      </c>
      <c r="F344" s="13" t="s">
        <v>1138</v>
      </c>
      <c r="G344" s="13" t="s">
        <v>56</v>
      </c>
      <c r="H344" s="13" t="s">
        <v>40</v>
      </c>
      <c r="I344" s="12">
        <v>2024</v>
      </c>
      <c r="J344" s="13" t="s">
        <v>1139</v>
      </c>
      <c r="K344" s="12">
        <v>9785006300125</v>
      </c>
      <c r="L344" s="13" t="s">
        <v>1140</v>
      </c>
      <c r="M344" s="12">
        <v>486</v>
      </c>
      <c r="N344" s="14">
        <v>0.32</v>
      </c>
      <c r="O344" s="12">
        <v>120</v>
      </c>
      <c r="P344" s="12">
        <v>170</v>
      </c>
      <c r="Q344" s="12">
        <v>20</v>
      </c>
      <c r="R344" s="13" t="s">
        <v>75</v>
      </c>
      <c r="S344" s="13"/>
      <c r="T344" s="15">
        <v>2000</v>
      </c>
      <c r="U344" s="13" t="s">
        <v>44</v>
      </c>
      <c r="V344" s="13" t="s">
        <v>59</v>
      </c>
      <c r="W344" s="12">
        <v>10</v>
      </c>
      <c r="X344" s="33" t="str">
        <f>HYPERLINK("https://www.alpinabook.ru/catalog/book-dizayn-raboty-mechty","ссылка на книгу")</f>
        <v>ссылка на книгу</v>
      </c>
      <c r="Y344" s="34" t="str">
        <f>HYPERLINK("https://api-enni.alpina.ru/FilePrivilegesApproval/713","https://api-enni.alpina.ru/FilePrivilegesApproval/713")</f>
        <v>https://api-enni.alpina.ru/FilePrivilegesApproval/713</v>
      </c>
      <c r="Z344" s="13"/>
      <c r="AT344" s="1">
        <f t="shared" si="40"/>
        <v>0</v>
      </c>
      <c r="AU344" s="1">
        <f t="shared" si="41"/>
        <v>0</v>
      </c>
      <c r="AV344" s="1">
        <f t="shared" si="42"/>
        <v>0</v>
      </c>
      <c r="AW344" s="1">
        <f t="shared" si="43"/>
        <v>0</v>
      </c>
      <c r="AX344" s="1">
        <f t="shared" si="44"/>
        <v>0</v>
      </c>
    </row>
    <row r="345" spans="1:50" s="1" customFormat="1" ht="24.95" customHeight="1" outlineLevel="3" x14ac:dyDescent="0.2">
      <c r="A345" s="11"/>
      <c r="B345" s="12">
        <v>540</v>
      </c>
      <c r="C345" s="12">
        <v>790</v>
      </c>
      <c r="D345" s="12">
        <v>6018</v>
      </c>
      <c r="E345" s="13" t="s">
        <v>410</v>
      </c>
      <c r="F345" s="13" t="s">
        <v>411</v>
      </c>
      <c r="G345" s="13" t="s">
        <v>56</v>
      </c>
      <c r="H345" s="13" t="s">
        <v>40</v>
      </c>
      <c r="I345" s="12">
        <v>2025</v>
      </c>
      <c r="J345" s="13" t="s">
        <v>412</v>
      </c>
      <c r="K345" s="12">
        <v>9785961459036</v>
      </c>
      <c r="L345" s="13" t="s">
        <v>413</v>
      </c>
      <c r="M345" s="12">
        <v>192</v>
      </c>
      <c r="N345" s="14">
        <v>0.33</v>
      </c>
      <c r="O345" s="12">
        <v>146</v>
      </c>
      <c r="P345" s="12">
        <v>216</v>
      </c>
      <c r="Q345" s="12">
        <v>8</v>
      </c>
      <c r="R345" s="13" t="s">
        <v>43</v>
      </c>
      <c r="S345" s="13"/>
      <c r="T345" s="15">
        <v>1000</v>
      </c>
      <c r="U345" s="13" t="s">
        <v>52</v>
      </c>
      <c r="V345" s="13" t="s">
        <v>64</v>
      </c>
      <c r="W345" s="12">
        <v>10</v>
      </c>
      <c r="X345" s="33" t="str">
        <f>HYPERLINK("https://www.alpinabook.ru/catalog/book-dobroe-utro-kazhdyy-den","ссылка на книгу")</f>
        <v>ссылка на книгу</v>
      </c>
      <c r="Y345" s="34" t="str">
        <f>HYPERLINK("https://api-enni.alpina.ru/FilePrivilegesApproval/2","https://api-enni.alpina.ru/FilePrivilegesApproval/2")</f>
        <v>https://api-enni.alpina.ru/FilePrivilegesApproval/2</v>
      </c>
      <c r="Z345" s="13" t="s">
        <v>77</v>
      </c>
      <c r="AT345" s="1">
        <f t="shared" si="40"/>
        <v>0</v>
      </c>
      <c r="AU345" s="1">
        <f t="shared" si="41"/>
        <v>0</v>
      </c>
      <c r="AV345" s="1">
        <f t="shared" si="42"/>
        <v>0</v>
      </c>
      <c r="AW345" s="1">
        <f t="shared" si="43"/>
        <v>0</v>
      </c>
      <c r="AX345" s="1">
        <f t="shared" si="44"/>
        <v>0</v>
      </c>
    </row>
    <row r="346" spans="1:50" s="1" customFormat="1" ht="24.95" customHeight="1" outlineLevel="3" x14ac:dyDescent="0.2">
      <c r="A346" s="11"/>
      <c r="B346" s="12">
        <v>490</v>
      </c>
      <c r="C346" s="12">
        <v>740</v>
      </c>
      <c r="D346" s="12">
        <v>30508</v>
      </c>
      <c r="E346" s="13" t="s">
        <v>1141</v>
      </c>
      <c r="F346" s="13" t="s">
        <v>1142</v>
      </c>
      <c r="G346" s="13" t="s">
        <v>56</v>
      </c>
      <c r="H346" s="13" t="s">
        <v>200</v>
      </c>
      <c r="I346" s="12">
        <v>2025</v>
      </c>
      <c r="J346" s="13" t="s">
        <v>1143</v>
      </c>
      <c r="K346" s="12">
        <v>9785961495683</v>
      </c>
      <c r="L346" s="13" t="s">
        <v>1144</v>
      </c>
      <c r="M346" s="12">
        <v>142</v>
      </c>
      <c r="N346" s="14">
        <v>0.2</v>
      </c>
      <c r="O346" s="12">
        <v>130</v>
      </c>
      <c r="P346" s="12">
        <v>200</v>
      </c>
      <c r="Q346" s="12">
        <v>24</v>
      </c>
      <c r="R346" s="13" t="s">
        <v>82</v>
      </c>
      <c r="S346" s="13"/>
      <c r="T346" s="15">
        <v>3000</v>
      </c>
      <c r="U346" s="13" t="s">
        <v>44</v>
      </c>
      <c r="V346" s="13" t="s">
        <v>45</v>
      </c>
      <c r="W346" s="12">
        <v>10</v>
      </c>
      <c r="X346" s="33" t="str">
        <f>HYPERLINK("https://www.alpinabook.ru/catalog/book-dorogaya-ya","ссылка на книгу")</f>
        <v>ссылка на книгу</v>
      </c>
      <c r="Y346" s="34" t="str">
        <f>HYPERLINK("https://api-enni.alpina.ru/FilePrivilegesApproval/713","https://api-enni.alpina.ru/FilePrivilegesApproval/713")</f>
        <v>https://api-enni.alpina.ru/FilePrivilegesApproval/713</v>
      </c>
      <c r="Z346" s="13"/>
      <c r="AT346" s="1">
        <f t="shared" si="40"/>
        <v>0</v>
      </c>
      <c r="AU346" s="1">
        <f t="shared" si="41"/>
        <v>0</v>
      </c>
      <c r="AV346" s="1">
        <f t="shared" si="42"/>
        <v>0</v>
      </c>
      <c r="AW346" s="1">
        <f t="shared" si="43"/>
        <v>0</v>
      </c>
      <c r="AX346" s="1">
        <f t="shared" si="44"/>
        <v>0</v>
      </c>
    </row>
    <row r="347" spans="1:50" s="1" customFormat="1" ht="24.95" customHeight="1" outlineLevel="3" x14ac:dyDescent="0.2">
      <c r="A347" s="11"/>
      <c r="B347" s="12">
        <v>490</v>
      </c>
      <c r="C347" s="12">
        <v>690</v>
      </c>
      <c r="D347" s="12">
        <v>29116</v>
      </c>
      <c r="E347" s="13" t="s">
        <v>1145</v>
      </c>
      <c r="F347" s="13" t="s">
        <v>1146</v>
      </c>
      <c r="G347" s="13" t="s">
        <v>56</v>
      </c>
      <c r="H347" s="13" t="s">
        <v>40</v>
      </c>
      <c r="I347" s="12">
        <v>2024</v>
      </c>
      <c r="J347" s="13" t="s">
        <v>1147</v>
      </c>
      <c r="K347" s="12">
        <v>9785961491531</v>
      </c>
      <c r="L347" s="13" t="s">
        <v>1148</v>
      </c>
      <c r="M347" s="12">
        <v>284</v>
      </c>
      <c r="N347" s="14">
        <v>0.35</v>
      </c>
      <c r="O347" s="12">
        <v>140</v>
      </c>
      <c r="P347" s="12">
        <v>210</v>
      </c>
      <c r="Q347" s="12">
        <v>16</v>
      </c>
      <c r="R347" s="13" t="s">
        <v>43</v>
      </c>
      <c r="S347" s="13" t="s">
        <v>1149</v>
      </c>
      <c r="T347" s="15">
        <v>2000</v>
      </c>
      <c r="U347" s="13" t="s">
        <v>44</v>
      </c>
      <c r="V347" s="13" t="s">
        <v>64</v>
      </c>
      <c r="W347" s="12">
        <v>10</v>
      </c>
      <c r="X347" s="33" t="str">
        <f>HYPERLINK("https://www.alpinabook.ru/catalog/book-dostizhenie-tseley","ссылка на книгу")</f>
        <v>ссылка на книгу</v>
      </c>
      <c r="Y347" s="34" t="str">
        <f>HYPERLINK("https://api-enni.alpina.ru/FilePrivilegesApproval/140","https://api-enni.alpina.ru/FilePrivilegesApproval/140")</f>
        <v>https://api-enni.alpina.ru/FilePrivilegesApproval/140</v>
      </c>
      <c r="Z347" s="13"/>
      <c r="AT347" s="1">
        <f t="shared" si="40"/>
        <v>0</v>
      </c>
      <c r="AU347" s="1">
        <f t="shared" si="41"/>
        <v>0</v>
      </c>
      <c r="AV347" s="1">
        <f t="shared" si="42"/>
        <v>0</v>
      </c>
      <c r="AW347" s="1">
        <f t="shared" si="43"/>
        <v>0</v>
      </c>
      <c r="AX347" s="1">
        <f t="shared" si="44"/>
        <v>0</v>
      </c>
    </row>
    <row r="348" spans="1:50" s="1" customFormat="1" ht="24.95" customHeight="1" outlineLevel="3" x14ac:dyDescent="0.2">
      <c r="A348" s="11"/>
      <c r="B348" s="12">
        <v>590</v>
      </c>
      <c r="C348" s="12">
        <v>590</v>
      </c>
      <c r="D348" s="12">
        <v>20571</v>
      </c>
      <c r="E348" s="13" t="s">
        <v>1150</v>
      </c>
      <c r="F348" s="13" t="s">
        <v>1151</v>
      </c>
      <c r="G348" s="13" t="s">
        <v>56</v>
      </c>
      <c r="H348" s="13"/>
      <c r="I348" s="12">
        <v>2021</v>
      </c>
      <c r="J348" s="13" t="s">
        <v>1152</v>
      </c>
      <c r="K348" s="12">
        <v>9785961440478</v>
      </c>
      <c r="L348" s="13" t="s">
        <v>1153</v>
      </c>
      <c r="M348" s="12">
        <v>256</v>
      </c>
      <c r="N348" s="14">
        <v>0.41</v>
      </c>
      <c r="O348" s="12">
        <v>146</v>
      </c>
      <c r="P348" s="12">
        <v>216</v>
      </c>
      <c r="Q348" s="12">
        <v>14</v>
      </c>
      <c r="R348" s="13" t="s">
        <v>43</v>
      </c>
      <c r="S348" s="13"/>
      <c r="T348" s="15">
        <v>3000</v>
      </c>
      <c r="U348" s="13" t="s">
        <v>52</v>
      </c>
      <c r="V348" s="13" t="s">
        <v>45</v>
      </c>
      <c r="W348" s="12">
        <v>10</v>
      </c>
      <c r="X348" s="33" t="str">
        <f>HYPERLINK("https://www.alpinabook.ru/catalog/book-714784","ссылка на книгу")</f>
        <v>ссылка на книгу</v>
      </c>
      <c r="Y348" s="34" t="str">
        <f>HYPERLINK("https://api-enni.alpina.ru/FilePrivilegesApproval/109","https://api-enni.alpina.ru/FilePrivilegesApproval/109")</f>
        <v>https://api-enni.alpina.ru/FilePrivilegesApproval/109</v>
      </c>
      <c r="Z348" s="13"/>
      <c r="AT348" s="1">
        <f t="shared" si="40"/>
        <v>0</v>
      </c>
      <c r="AU348" s="1">
        <f t="shared" si="41"/>
        <v>0</v>
      </c>
      <c r="AV348" s="1">
        <f t="shared" si="42"/>
        <v>0</v>
      </c>
      <c r="AW348" s="1">
        <f t="shared" si="43"/>
        <v>0</v>
      </c>
      <c r="AX348" s="1">
        <f t="shared" si="44"/>
        <v>0</v>
      </c>
    </row>
    <row r="349" spans="1:50" s="1" customFormat="1" ht="24.95" customHeight="1" outlineLevel="3" x14ac:dyDescent="0.2">
      <c r="A349" s="11"/>
      <c r="B349" s="12">
        <v>490</v>
      </c>
      <c r="C349" s="12">
        <v>690</v>
      </c>
      <c r="D349" s="12">
        <v>27497</v>
      </c>
      <c r="E349" s="13" t="s">
        <v>1154</v>
      </c>
      <c r="F349" s="13" t="s">
        <v>1155</v>
      </c>
      <c r="G349" s="13" t="s">
        <v>56</v>
      </c>
      <c r="H349" s="13" t="s">
        <v>40</v>
      </c>
      <c r="I349" s="12">
        <v>2025</v>
      </c>
      <c r="J349" s="13" t="s">
        <v>1156</v>
      </c>
      <c r="K349" s="12">
        <v>9785961485387</v>
      </c>
      <c r="L349" s="13" t="s">
        <v>1157</v>
      </c>
      <c r="M349" s="12">
        <v>332</v>
      </c>
      <c r="N349" s="14">
        <v>0.34</v>
      </c>
      <c r="O349" s="12">
        <v>150</v>
      </c>
      <c r="P349" s="12">
        <v>210</v>
      </c>
      <c r="Q349" s="12">
        <v>10</v>
      </c>
      <c r="R349" s="13" t="s">
        <v>43</v>
      </c>
      <c r="S349" s="13" t="s">
        <v>1149</v>
      </c>
      <c r="T349" s="15">
        <v>1000</v>
      </c>
      <c r="U349" s="13" t="s">
        <v>44</v>
      </c>
      <c r="V349" s="13" t="s">
        <v>64</v>
      </c>
      <c r="W349" s="12">
        <v>10</v>
      </c>
      <c r="X349" s="33" t="str">
        <f>HYPERLINK("https://www.alpinabook.ru/catalog/book-zhizn-v-potoke-kouching","ссылка на книгу")</f>
        <v>ссылка на книгу</v>
      </c>
      <c r="Y349" s="34" t="str">
        <f>HYPERLINK("https://api-enni.alpina.ru/FilePrivilegesApproval/200","https://api-enni.alpina.ru/FilePrivilegesApproval/200")</f>
        <v>https://api-enni.alpina.ru/FilePrivilegesApproval/200</v>
      </c>
      <c r="Z349" s="13" t="s">
        <v>387</v>
      </c>
      <c r="AT349" s="1">
        <f t="shared" si="40"/>
        <v>0</v>
      </c>
      <c r="AU349" s="1">
        <f t="shared" si="41"/>
        <v>0</v>
      </c>
      <c r="AV349" s="1">
        <f t="shared" si="42"/>
        <v>0</v>
      </c>
      <c r="AW349" s="1">
        <f t="shared" si="43"/>
        <v>0</v>
      </c>
      <c r="AX349" s="1">
        <f t="shared" si="44"/>
        <v>0</v>
      </c>
    </row>
    <row r="350" spans="1:50" s="1" customFormat="1" ht="24.95" customHeight="1" outlineLevel="3" x14ac:dyDescent="0.2">
      <c r="A350" s="11"/>
      <c r="B350" s="12">
        <v>590</v>
      </c>
      <c r="C350" s="12">
        <v>840</v>
      </c>
      <c r="D350" s="12">
        <v>23672</v>
      </c>
      <c r="E350" s="13" t="s">
        <v>1158</v>
      </c>
      <c r="F350" s="13" t="s">
        <v>1159</v>
      </c>
      <c r="G350" s="13" t="s">
        <v>56</v>
      </c>
      <c r="H350" s="13" t="s">
        <v>40</v>
      </c>
      <c r="I350" s="12">
        <v>2023</v>
      </c>
      <c r="J350" s="13" t="s">
        <v>1160</v>
      </c>
      <c r="K350" s="12">
        <v>9785961478600</v>
      </c>
      <c r="L350" s="13" t="s">
        <v>1161</v>
      </c>
      <c r="M350" s="12">
        <v>276</v>
      </c>
      <c r="N350" s="14">
        <v>0.44</v>
      </c>
      <c r="O350" s="12">
        <v>150</v>
      </c>
      <c r="P350" s="12">
        <v>220</v>
      </c>
      <c r="Q350" s="12">
        <v>14</v>
      </c>
      <c r="R350" s="13" t="s">
        <v>43</v>
      </c>
      <c r="S350" s="13"/>
      <c r="T350" s="15">
        <v>1500</v>
      </c>
      <c r="U350" s="13" t="s">
        <v>52</v>
      </c>
      <c r="V350" s="13" t="s">
        <v>59</v>
      </c>
      <c r="W350" s="12">
        <v>10</v>
      </c>
      <c r="X350" s="33" t="str">
        <f>HYPERLINK("https://www.alpinabook.ru/catalog/book-zhizn-v-resurse","ссылка на книгу")</f>
        <v>ссылка на книгу</v>
      </c>
      <c r="Y350" s="34" t="str">
        <f>HYPERLINK("https://api-enni.alpina.ru/FilePrivilegesApproval/157","https://api-enni.alpina.ru/FilePrivilegesApproval/157")</f>
        <v>https://api-enni.alpina.ru/FilePrivilegesApproval/157</v>
      </c>
      <c r="Z350" s="13"/>
      <c r="AT350" s="1">
        <f t="shared" si="40"/>
        <v>0</v>
      </c>
      <c r="AU350" s="1">
        <f t="shared" si="41"/>
        <v>0</v>
      </c>
      <c r="AV350" s="1">
        <f t="shared" si="42"/>
        <v>0</v>
      </c>
      <c r="AW350" s="1">
        <f t="shared" si="43"/>
        <v>0</v>
      </c>
      <c r="AX350" s="1">
        <f t="shared" si="44"/>
        <v>0</v>
      </c>
    </row>
    <row r="351" spans="1:50" s="1" customFormat="1" ht="24.95" customHeight="1" outlineLevel="3" x14ac:dyDescent="0.2">
      <c r="A351" s="11"/>
      <c r="B351" s="12">
        <v>590</v>
      </c>
      <c r="C351" s="12">
        <v>840</v>
      </c>
      <c r="D351" s="12">
        <v>27448</v>
      </c>
      <c r="E351" s="13" t="s">
        <v>1162</v>
      </c>
      <c r="F351" s="13" t="s">
        <v>1163</v>
      </c>
      <c r="G351" s="13" t="s">
        <v>56</v>
      </c>
      <c r="H351" s="13" t="s">
        <v>40</v>
      </c>
      <c r="I351" s="12">
        <v>2024</v>
      </c>
      <c r="J351" s="13" t="s">
        <v>1164</v>
      </c>
      <c r="K351" s="12">
        <v>9785961485141</v>
      </c>
      <c r="L351" s="13" t="s">
        <v>1165</v>
      </c>
      <c r="M351" s="12">
        <v>360</v>
      </c>
      <c r="N351" s="14">
        <v>0.43</v>
      </c>
      <c r="O351" s="12">
        <v>140</v>
      </c>
      <c r="P351" s="12">
        <v>210</v>
      </c>
      <c r="Q351" s="12">
        <v>12</v>
      </c>
      <c r="R351" s="13" t="s">
        <v>43</v>
      </c>
      <c r="S351" s="13"/>
      <c r="T351" s="15">
        <v>2000</v>
      </c>
      <c r="U351" s="13" t="s">
        <v>44</v>
      </c>
      <c r="V351" s="13" t="s">
        <v>45</v>
      </c>
      <c r="W351" s="12">
        <v>10</v>
      </c>
      <c r="X351" s="33" t="str">
        <f>HYPERLINK("https://www.alpinabook.ru/catalog/book-zhizn-posle-travmy","ссылка на книгу")</f>
        <v>ссылка на книгу</v>
      </c>
      <c r="Y351" s="34" t="str">
        <f>HYPERLINK("https://api-enni.alpina.ru/FilePrivilegesApproval/315","https://api-enni.alpina.ru/FilePrivilegesApproval/315")</f>
        <v>https://api-enni.alpina.ru/FilePrivilegesApproval/315</v>
      </c>
      <c r="Z351" s="13"/>
      <c r="AT351" s="1">
        <f t="shared" si="40"/>
        <v>0</v>
      </c>
      <c r="AU351" s="1">
        <f t="shared" si="41"/>
        <v>0</v>
      </c>
      <c r="AV351" s="1">
        <f t="shared" si="42"/>
        <v>0</v>
      </c>
      <c r="AW351" s="1">
        <f t="shared" si="43"/>
        <v>0</v>
      </c>
      <c r="AX351" s="1">
        <f t="shared" si="44"/>
        <v>0</v>
      </c>
    </row>
    <row r="352" spans="1:50" s="1" customFormat="1" ht="24.95" customHeight="1" outlineLevel="3" x14ac:dyDescent="0.2">
      <c r="A352" s="26"/>
      <c r="B352" s="27">
        <v>640</v>
      </c>
      <c r="C352" s="27">
        <v>940</v>
      </c>
      <c r="D352" s="27">
        <v>25449</v>
      </c>
      <c r="E352" s="29" t="s">
        <v>1166</v>
      </c>
      <c r="F352" s="29" t="s">
        <v>1167</v>
      </c>
      <c r="G352" s="29" t="s">
        <v>56</v>
      </c>
      <c r="H352" s="29" t="s">
        <v>40</v>
      </c>
      <c r="I352" s="27">
        <v>2024</v>
      </c>
      <c r="J352" s="29" t="s">
        <v>1168</v>
      </c>
      <c r="K352" s="27">
        <v>9785961498318</v>
      </c>
      <c r="L352" s="29" t="s">
        <v>1169</v>
      </c>
      <c r="M352" s="27">
        <v>280</v>
      </c>
      <c r="N352" s="30">
        <v>0.35</v>
      </c>
      <c r="O352" s="27">
        <v>140</v>
      </c>
      <c r="P352" s="27">
        <v>210</v>
      </c>
      <c r="Q352" s="27">
        <v>16</v>
      </c>
      <c r="R352" s="29" t="s">
        <v>43</v>
      </c>
      <c r="S352" s="29"/>
      <c r="T352" s="28">
        <v>3000</v>
      </c>
      <c r="U352" s="29" t="s">
        <v>44</v>
      </c>
      <c r="V352" s="29" t="s">
        <v>59</v>
      </c>
      <c r="W352" s="27">
        <v>10</v>
      </c>
      <c r="X352" s="37" t="str">
        <f>HYPERLINK("https://www.alpinabook.ru/catalog/book-zhizn-igra-i-produktivnost","ссылка на книгу")</f>
        <v>ссылка на книгу</v>
      </c>
      <c r="Y352" s="38" t="str">
        <f>HYPERLINK("https://api-enni.alpina.ru/FilePrivilegesApproval/500","https://api-enni.alpina.ru/FilePrivilegesApproval/500")</f>
        <v>https://api-enni.alpina.ru/FilePrivilegesApproval/500</v>
      </c>
      <c r="Z352" s="29"/>
      <c r="AT352" s="1">
        <f t="shared" si="40"/>
        <v>0</v>
      </c>
      <c r="AU352" s="1">
        <f t="shared" si="41"/>
        <v>0</v>
      </c>
      <c r="AV352" s="1">
        <f t="shared" si="42"/>
        <v>0</v>
      </c>
      <c r="AW352" s="1">
        <f t="shared" si="43"/>
        <v>0</v>
      </c>
      <c r="AX352" s="1">
        <f t="shared" si="44"/>
        <v>0</v>
      </c>
    </row>
    <row r="353" spans="1:50" s="1" customFormat="1" ht="24.95" customHeight="1" outlineLevel="3" x14ac:dyDescent="0.2">
      <c r="A353" s="11"/>
      <c r="B353" s="12">
        <v>590</v>
      </c>
      <c r="C353" s="12">
        <v>840</v>
      </c>
      <c r="D353" s="12">
        <v>7462</v>
      </c>
      <c r="E353" s="13" t="s">
        <v>1170</v>
      </c>
      <c r="F353" s="13" t="s">
        <v>1171</v>
      </c>
      <c r="G353" s="13" t="s">
        <v>56</v>
      </c>
      <c r="H353" s="13" t="s">
        <v>40</v>
      </c>
      <c r="I353" s="12">
        <v>2019</v>
      </c>
      <c r="J353" s="13" t="s">
        <v>1172</v>
      </c>
      <c r="K353" s="12">
        <v>9785961465136</v>
      </c>
      <c r="L353" s="13" t="s">
        <v>1173</v>
      </c>
      <c r="M353" s="12">
        <v>272</v>
      </c>
      <c r="N353" s="14">
        <v>0.43</v>
      </c>
      <c r="O353" s="12">
        <v>146</v>
      </c>
      <c r="P353" s="12">
        <v>216</v>
      </c>
      <c r="Q353" s="12">
        <v>14</v>
      </c>
      <c r="R353" s="13" t="s">
        <v>43</v>
      </c>
      <c r="S353" s="13"/>
      <c r="T353" s="15">
        <v>3000</v>
      </c>
      <c r="U353" s="13" t="s">
        <v>52</v>
      </c>
      <c r="V353" s="13" t="s">
        <v>45</v>
      </c>
      <c r="W353" s="12">
        <v>10</v>
      </c>
      <c r="X353" s="33" t="str">
        <f>HYPERLINK("https://www.alpinabook.ru/catalog/book-405209","ссылка на книгу")</f>
        <v>ссылка на книгу</v>
      </c>
      <c r="Y353" s="34" t="str">
        <f>HYPERLINK("https://api-enni.alpina.ru/FilePrivilegesApproval/2","https://api-enni.alpina.ru/FilePrivilegesApproval/2")</f>
        <v>https://api-enni.alpina.ru/FilePrivilegesApproval/2</v>
      </c>
      <c r="Z353" s="13"/>
      <c r="AT353" s="1">
        <f t="shared" si="40"/>
        <v>0</v>
      </c>
      <c r="AU353" s="1">
        <f t="shared" si="41"/>
        <v>0</v>
      </c>
      <c r="AV353" s="1">
        <f t="shared" si="42"/>
        <v>0</v>
      </c>
      <c r="AW353" s="1">
        <f t="shared" si="43"/>
        <v>0</v>
      </c>
      <c r="AX353" s="1">
        <f t="shared" si="44"/>
        <v>0</v>
      </c>
    </row>
    <row r="354" spans="1:50" s="1" customFormat="1" ht="24.95" customHeight="1" outlineLevel="3" x14ac:dyDescent="0.2">
      <c r="A354" s="11"/>
      <c r="B354" s="12">
        <v>650</v>
      </c>
      <c r="C354" s="12">
        <v>940</v>
      </c>
      <c r="D354" s="12">
        <v>23858</v>
      </c>
      <c r="E354" s="13" t="s">
        <v>760</v>
      </c>
      <c r="F354" s="13" t="s">
        <v>1174</v>
      </c>
      <c r="G354" s="13" t="s">
        <v>56</v>
      </c>
      <c r="H354" s="13" t="s">
        <v>40</v>
      </c>
      <c r="I354" s="12">
        <v>2025</v>
      </c>
      <c r="J354" s="13" t="s">
        <v>1175</v>
      </c>
      <c r="K354" s="12">
        <v>9785961487732</v>
      </c>
      <c r="L354" s="13" t="s">
        <v>1176</v>
      </c>
      <c r="M354" s="12">
        <v>360</v>
      </c>
      <c r="N354" s="14">
        <v>0.43</v>
      </c>
      <c r="O354" s="12">
        <v>140</v>
      </c>
      <c r="P354" s="12">
        <v>210</v>
      </c>
      <c r="Q354" s="12">
        <v>12</v>
      </c>
      <c r="R354" s="13" t="s">
        <v>43</v>
      </c>
      <c r="S354" s="13"/>
      <c r="T354" s="15">
        <v>3000</v>
      </c>
      <c r="U354" s="13" t="s">
        <v>44</v>
      </c>
      <c r="V354" s="13" t="s">
        <v>45</v>
      </c>
      <c r="W354" s="12">
        <v>10</v>
      </c>
      <c r="X354" s="33" t="str">
        <f>HYPERLINK("https://www.alpinabook.ru/catalog/book-zdorovaya-samootsenka","ссылка на книгу")</f>
        <v>ссылка на книгу</v>
      </c>
      <c r="Y354" s="34" t="str">
        <f>HYPERLINK("https://api-enni.alpina.ru/FilePrivilegesApproval/302","https://api-enni.alpina.ru/FilePrivilegesApproval/302")</f>
        <v>https://api-enni.alpina.ru/FilePrivilegesApproval/302</v>
      </c>
      <c r="Z354" s="13"/>
      <c r="AT354" s="1">
        <f t="shared" si="40"/>
        <v>0</v>
      </c>
      <c r="AU354" s="1">
        <f t="shared" si="41"/>
        <v>0</v>
      </c>
      <c r="AV354" s="1">
        <f t="shared" si="42"/>
        <v>0</v>
      </c>
      <c r="AW354" s="1">
        <f t="shared" si="43"/>
        <v>0</v>
      </c>
      <c r="AX354" s="1">
        <f t="shared" si="44"/>
        <v>0</v>
      </c>
    </row>
    <row r="355" spans="1:50" s="1" customFormat="1" ht="24.95" customHeight="1" outlineLevel="3" x14ac:dyDescent="0.2">
      <c r="A355" s="11"/>
      <c r="B355" s="12">
        <v>540</v>
      </c>
      <c r="C355" s="12">
        <v>790</v>
      </c>
      <c r="D355" s="12">
        <v>28866</v>
      </c>
      <c r="E355" s="13" t="s">
        <v>1177</v>
      </c>
      <c r="F355" s="13" t="s">
        <v>1178</v>
      </c>
      <c r="G355" s="13" t="s">
        <v>56</v>
      </c>
      <c r="H355" s="13"/>
      <c r="I355" s="12">
        <v>2025</v>
      </c>
      <c r="J355" s="13" t="s">
        <v>1179</v>
      </c>
      <c r="K355" s="12">
        <v>9785961490404</v>
      </c>
      <c r="L355" s="13" t="s">
        <v>1180</v>
      </c>
      <c r="M355" s="12">
        <v>299</v>
      </c>
      <c r="N355" s="14">
        <v>0.46</v>
      </c>
      <c r="O355" s="12">
        <v>150</v>
      </c>
      <c r="P355" s="12">
        <v>220</v>
      </c>
      <c r="Q355" s="12">
        <v>12</v>
      </c>
      <c r="R355" s="13" t="s">
        <v>43</v>
      </c>
      <c r="S355" s="13"/>
      <c r="T355" s="15">
        <v>1500</v>
      </c>
      <c r="U355" s="13" t="s">
        <v>52</v>
      </c>
      <c r="V355" s="13" t="s">
        <v>45</v>
      </c>
      <c r="W355" s="12">
        <v>10</v>
      </c>
      <c r="X355" s="33" t="str">
        <f>HYPERLINK("https://www.alpinabook.ru/catalog/book-zdorovye-otnosheniya","ссылка на книгу")</f>
        <v>ссылка на книгу</v>
      </c>
      <c r="Y355" s="34" t="str">
        <f>HYPERLINK("https://api-enni.alpina.ru/FilePrivilegesApproval/405","https://api-enni.alpina.ru/FilePrivilegesApproval/405")</f>
        <v>https://api-enni.alpina.ru/FilePrivilegesApproval/405</v>
      </c>
      <c r="Z355" s="13" t="s">
        <v>70</v>
      </c>
      <c r="AT355" s="1">
        <f t="shared" si="40"/>
        <v>0</v>
      </c>
      <c r="AU355" s="1">
        <f t="shared" si="41"/>
        <v>0</v>
      </c>
      <c r="AV355" s="1">
        <f t="shared" si="42"/>
        <v>0</v>
      </c>
      <c r="AW355" s="1">
        <f t="shared" si="43"/>
        <v>0</v>
      </c>
      <c r="AX355" s="1">
        <f t="shared" si="44"/>
        <v>0</v>
      </c>
    </row>
    <row r="356" spans="1:50" s="1" customFormat="1" ht="24.95" customHeight="1" outlineLevel="3" x14ac:dyDescent="0.2">
      <c r="A356" s="11"/>
      <c r="B356" s="12">
        <v>290</v>
      </c>
      <c r="C356" s="12">
        <v>440</v>
      </c>
      <c r="D356" s="12">
        <v>28601</v>
      </c>
      <c r="E356" s="13" t="s">
        <v>657</v>
      </c>
      <c r="F356" s="13" t="s">
        <v>1181</v>
      </c>
      <c r="G356" s="13" t="s">
        <v>56</v>
      </c>
      <c r="H356" s="13"/>
      <c r="I356" s="12">
        <v>2023</v>
      </c>
      <c r="J356" s="13" t="s">
        <v>1182</v>
      </c>
      <c r="K356" s="12">
        <v>9785961489453</v>
      </c>
      <c r="L356" s="13" t="s">
        <v>1183</v>
      </c>
      <c r="M356" s="12">
        <v>282</v>
      </c>
      <c r="N356" s="14">
        <v>0.19</v>
      </c>
      <c r="O356" s="12">
        <v>120</v>
      </c>
      <c r="P356" s="12">
        <v>170</v>
      </c>
      <c r="Q356" s="12">
        <v>20</v>
      </c>
      <c r="R356" s="13" t="s">
        <v>75</v>
      </c>
      <c r="S356" s="13" t="s">
        <v>253</v>
      </c>
      <c r="T356" s="15">
        <v>2500</v>
      </c>
      <c r="U356" s="13" t="s">
        <v>44</v>
      </c>
      <c r="V356" s="13" t="s">
        <v>64</v>
      </c>
      <c r="W356" s="12">
        <v>10</v>
      </c>
      <c r="X356" s="33" t="str">
        <f>HYPERLINK("https://www.alpinabook.ru/catalog/book-idealnyy-poryadok-za-8-minut","ссылка на книгу")</f>
        <v>ссылка на книгу</v>
      </c>
      <c r="Y356" s="34" t="str">
        <f>HYPERLINK("https://api-enni.alpina.ru/FilePrivilegesApproval/284","https://api-enni.alpina.ru/FilePrivilegesApproval/284")</f>
        <v>https://api-enni.alpina.ru/FilePrivilegesApproval/284</v>
      </c>
      <c r="Z356" s="13"/>
      <c r="AT356" s="1">
        <f t="shared" si="40"/>
        <v>0</v>
      </c>
      <c r="AU356" s="1">
        <f t="shared" si="41"/>
        <v>0</v>
      </c>
      <c r="AV356" s="1">
        <f t="shared" si="42"/>
        <v>0</v>
      </c>
      <c r="AW356" s="1">
        <f t="shared" si="43"/>
        <v>0</v>
      </c>
      <c r="AX356" s="1">
        <f t="shared" si="44"/>
        <v>0</v>
      </c>
    </row>
    <row r="357" spans="1:50" s="1" customFormat="1" ht="24.95" customHeight="1" outlineLevel="3" x14ac:dyDescent="0.2">
      <c r="A357" s="11"/>
      <c r="B357" s="12">
        <v>790</v>
      </c>
      <c r="C357" s="12">
        <v>790</v>
      </c>
      <c r="D357" s="12">
        <v>23554</v>
      </c>
      <c r="E357" s="13" t="s">
        <v>1184</v>
      </c>
      <c r="F357" s="13" t="s">
        <v>1185</v>
      </c>
      <c r="G357" s="13" t="s">
        <v>97</v>
      </c>
      <c r="H357" s="13"/>
      <c r="I357" s="12">
        <v>2022</v>
      </c>
      <c r="J357" s="13" t="s">
        <v>1186</v>
      </c>
      <c r="K357" s="12">
        <v>9785907470019</v>
      </c>
      <c r="L357" s="13" t="s">
        <v>1187</v>
      </c>
      <c r="M357" s="12">
        <v>248</v>
      </c>
      <c r="N357" s="14">
        <v>0.41</v>
      </c>
      <c r="O357" s="12">
        <v>146</v>
      </c>
      <c r="P357" s="12">
        <v>216</v>
      </c>
      <c r="Q357" s="12">
        <v>10</v>
      </c>
      <c r="R357" s="13" t="s">
        <v>43</v>
      </c>
      <c r="S357" s="13"/>
      <c r="T357" s="15">
        <v>1250</v>
      </c>
      <c r="U357" s="13" t="s">
        <v>52</v>
      </c>
      <c r="V357" s="13" t="s">
        <v>59</v>
      </c>
      <c r="W357" s="12">
        <v>10</v>
      </c>
      <c r="X357" s="33" t="str">
        <f>HYPERLINK("https://www.alpinabook.ru/catalog/book-iz-moskvy-v-london","ссылка на книгу")</f>
        <v>ссылка на книгу</v>
      </c>
      <c r="Y357" s="34" t="str">
        <f>HYPERLINK("https://api-enni.alpina.ru/FilePrivilegesApproval/154","https://api-enni.alpina.ru/FilePrivilegesApproval/154")</f>
        <v>https://api-enni.alpina.ru/FilePrivilegesApproval/154</v>
      </c>
      <c r="Z357" s="13"/>
      <c r="AT357" s="1">
        <f t="shared" si="40"/>
        <v>0</v>
      </c>
      <c r="AU357" s="1">
        <f t="shared" si="41"/>
        <v>0</v>
      </c>
      <c r="AV357" s="1">
        <f t="shared" si="42"/>
        <v>0</v>
      </c>
      <c r="AW357" s="1">
        <f t="shared" si="43"/>
        <v>0</v>
      </c>
      <c r="AX357" s="1">
        <f t="shared" si="44"/>
        <v>0</v>
      </c>
    </row>
    <row r="358" spans="1:50" s="1" customFormat="1" ht="24.95" customHeight="1" outlineLevel="3" x14ac:dyDescent="0.2">
      <c r="A358" s="11"/>
      <c r="B358" s="12">
        <v>290</v>
      </c>
      <c r="C358" s="12">
        <v>440</v>
      </c>
      <c r="D358" s="12">
        <v>27438</v>
      </c>
      <c r="E358" s="13" t="s">
        <v>1188</v>
      </c>
      <c r="F358" s="13" t="s">
        <v>1189</v>
      </c>
      <c r="G358" s="13" t="s">
        <v>56</v>
      </c>
      <c r="H358" s="13"/>
      <c r="I358" s="12">
        <v>2025</v>
      </c>
      <c r="J358" s="13" t="s">
        <v>1190</v>
      </c>
      <c r="K358" s="12">
        <v>9785961485042</v>
      </c>
      <c r="L358" s="13" t="s">
        <v>1191</v>
      </c>
      <c r="M358" s="12">
        <v>288</v>
      </c>
      <c r="N358" s="14">
        <v>0.19</v>
      </c>
      <c r="O358" s="12">
        <v>120</v>
      </c>
      <c r="P358" s="12">
        <v>170</v>
      </c>
      <c r="Q358" s="12">
        <v>10</v>
      </c>
      <c r="R358" s="13" t="s">
        <v>75</v>
      </c>
      <c r="S358" s="13" t="s">
        <v>253</v>
      </c>
      <c r="T358" s="15">
        <v>4000</v>
      </c>
      <c r="U358" s="13" t="s">
        <v>44</v>
      </c>
      <c r="V358" s="13" t="s">
        <v>64</v>
      </c>
      <c r="W358" s="12">
        <v>10</v>
      </c>
      <c r="X358" s="33" t="str">
        <f>HYPERLINK("https://www.alpinabook.ru/catalog/book-izmeni-zhizn-ostavayas-soboy","ссылка на книгу")</f>
        <v>ссылка на книгу</v>
      </c>
      <c r="Y358" s="34" t="str">
        <f>HYPERLINK("https://api-enni.alpina.ru/FilePrivilegesApproval/200","https://api-enni.alpina.ru/FilePrivilegesApproval/200")</f>
        <v>https://api-enni.alpina.ru/FilePrivilegesApproval/200</v>
      </c>
      <c r="Z358" s="13" t="s">
        <v>142</v>
      </c>
      <c r="AT358" s="1">
        <f t="shared" si="40"/>
        <v>0</v>
      </c>
      <c r="AU358" s="1">
        <f t="shared" si="41"/>
        <v>0</v>
      </c>
      <c r="AV358" s="1">
        <f t="shared" si="42"/>
        <v>0</v>
      </c>
      <c r="AW358" s="1">
        <f t="shared" si="43"/>
        <v>0</v>
      </c>
      <c r="AX358" s="1">
        <f t="shared" si="44"/>
        <v>0</v>
      </c>
    </row>
    <row r="359" spans="1:50" s="1" customFormat="1" ht="24.95" customHeight="1" outlineLevel="3" x14ac:dyDescent="0.2">
      <c r="A359" s="11"/>
      <c r="B359" s="12">
        <v>540</v>
      </c>
      <c r="C359" s="12">
        <v>540</v>
      </c>
      <c r="D359" s="12">
        <v>25088</v>
      </c>
      <c r="E359" s="13" t="s">
        <v>1192</v>
      </c>
      <c r="F359" s="13" t="s">
        <v>1193</v>
      </c>
      <c r="G359" s="13" t="s">
        <v>56</v>
      </c>
      <c r="H359" s="13" t="s">
        <v>40</v>
      </c>
      <c r="I359" s="12">
        <v>2022</v>
      </c>
      <c r="J359" s="13" t="s">
        <v>1194</v>
      </c>
      <c r="K359" s="12">
        <v>9785961480481</v>
      </c>
      <c r="L359" s="13" t="s">
        <v>1195</v>
      </c>
      <c r="M359" s="12">
        <v>238</v>
      </c>
      <c r="N359" s="14">
        <v>0.3</v>
      </c>
      <c r="O359" s="12">
        <v>141</v>
      </c>
      <c r="P359" s="12">
        <v>210</v>
      </c>
      <c r="Q359" s="12">
        <v>16</v>
      </c>
      <c r="R359" s="13" t="s">
        <v>43</v>
      </c>
      <c r="S359" s="13"/>
      <c r="T359" s="15">
        <v>2000</v>
      </c>
      <c r="U359" s="13" t="s">
        <v>44</v>
      </c>
      <c r="V359" s="13" t="s">
        <v>64</v>
      </c>
      <c r="W359" s="12">
        <v>10</v>
      </c>
      <c r="X359" s="33" t="str">
        <f>HYPERLINK("https://www.alpinabook.ru/catalog/book-izmenit-drugih-mozno","ссылка на книгу")</f>
        <v>ссылка на книгу</v>
      </c>
      <c r="Y359" s="34" t="str">
        <f>HYPERLINK("https://api-enni.alpina.ru/FilePrivilegesApproval/152","https://api-enni.alpina.ru/FilePrivilegesApproval/152")</f>
        <v>https://api-enni.alpina.ru/FilePrivilegesApproval/152</v>
      </c>
      <c r="Z359" s="13"/>
      <c r="AT359" s="1">
        <f t="shared" si="40"/>
        <v>0</v>
      </c>
      <c r="AU359" s="1">
        <f t="shared" si="41"/>
        <v>0</v>
      </c>
      <c r="AV359" s="1">
        <f t="shared" si="42"/>
        <v>0</v>
      </c>
      <c r="AW359" s="1">
        <f t="shared" si="43"/>
        <v>0</v>
      </c>
      <c r="AX359" s="1">
        <f t="shared" si="44"/>
        <v>0</v>
      </c>
    </row>
    <row r="360" spans="1:50" s="1" customFormat="1" ht="24.95" customHeight="1" outlineLevel="3" x14ac:dyDescent="0.2">
      <c r="A360" s="11"/>
      <c r="B360" s="12">
        <v>290</v>
      </c>
      <c r="C360" s="12">
        <v>290</v>
      </c>
      <c r="D360" s="12">
        <v>27439</v>
      </c>
      <c r="E360" s="13" t="s">
        <v>1196</v>
      </c>
      <c r="F360" s="13" t="s">
        <v>1197</v>
      </c>
      <c r="G360" s="13" t="s">
        <v>56</v>
      </c>
      <c r="H360" s="13"/>
      <c r="I360" s="12">
        <v>2024</v>
      </c>
      <c r="J360" s="13" t="s">
        <v>1198</v>
      </c>
      <c r="K360" s="12">
        <v>9785961485059</v>
      </c>
      <c r="L360" s="13" t="s">
        <v>1199</v>
      </c>
      <c r="M360" s="12">
        <v>400</v>
      </c>
      <c r="N360" s="14">
        <v>0.25</v>
      </c>
      <c r="O360" s="12">
        <v>120</v>
      </c>
      <c r="P360" s="12">
        <v>170</v>
      </c>
      <c r="Q360" s="12">
        <v>14</v>
      </c>
      <c r="R360" s="13" t="s">
        <v>75</v>
      </c>
      <c r="S360" s="13" t="s">
        <v>253</v>
      </c>
      <c r="T360" s="15">
        <v>2000</v>
      </c>
      <c r="U360" s="13" t="s">
        <v>44</v>
      </c>
      <c r="V360" s="13" t="s">
        <v>64</v>
      </c>
      <c r="W360" s="12">
        <v>10</v>
      </c>
      <c r="X360" s="33" t="str">
        <f>HYPERLINK("https://www.alpinabook.ru/catalog/book-intervyu-s-samim-soboy","ссылка на книгу")</f>
        <v>ссылка на книгу</v>
      </c>
      <c r="Y360" s="34" t="str">
        <f>HYPERLINK("https://api-enni.alpina.ru/FilePrivilegesApproval/200","https://api-enni.alpina.ru/FilePrivilegesApproval/200")</f>
        <v>https://api-enni.alpina.ru/FilePrivilegesApproval/200</v>
      </c>
      <c r="Z360" s="13"/>
      <c r="AT360" s="1">
        <f t="shared" si="40"/>
        <v>0</v>
      </c>
      <c r="AU360" s="1">
        <f t="shared" si="41"/>
        <v>0</v>
      </c>
      <c r="AV360" s="1">
        <f t="shared" si="42"/>
        <v>0</v>
      </c>
      <c r="AW360" s="1">
        <f t="shared" si="43"/>
        <v>0</v>
      </c>
      <c r="AX360" s="1">
        <f t="shared" si="44"/>
        <v>0</v>
      </c>
    </row>
    <row r="361" spans="1:50" s="1" customFormat="1" ht="24.95" customHeight="1" outlineLevel="3" x14ac:dyDescent="0.2">
      <c r="A361" s="11"/>
      <c r="B361" s="12">
        <v>890</v>
      </c>
      <c r="C361" s="12">
        <v>940</v>
      </c>
      <c r="D361" s="12">
        <v>24411</v>
      </c>
      <c r="E361" s="13" t="s">
        <v>1200</v>
      </c>
      <c r="F361" s="13" t="s">
        <v>1201</v>
      </c>
      <c r="G361" s="13" t="s">
        <v>97</v>
      </c>
      <c r="H361" s="13"/>
      <c r="I361" s="12">
        <v>2022</v>
      </c>
      <c r="J361" s="13" t="s">
        <v>1202</v>
      </c>
      <c r="K361" s="12">
        <v>9785907534032</v>
      </c>
      <c r="L361" s="13" t="s">
        <v>1203</v>
      </c>
      <c r="M361" s="12">
        <v>160</v>
      </c>
      <c r="N361" s="14">
        <v>0.31</v>
      </c>
      <c r="O361" s="12">
        <v>146</v>
      </c>
      <c r="P361" s="12">
        <v>216</v>
      </c>
      <c r="Q361" s="12">
        <v>14</v>
      </c>
      <c r="R361" s="13" t="s">
        <v>43</v>
      </c>
      <c r="S361" s="13"/>
      <c r="T361" s="15">
        <v>2000</v>
      </c>
      <c r="U361" s="13" t="s">
        <v>52</v>
      </c>
      <c r="V361" s="13" t="s">
        <v>59</v>
      </c>
      <c r="W361" s="12">
        <v>10</v>
      </c>
      <c r="X361" s="33" t="str">
        <f>HYPERLINK("https://www.alpinabook.ru/catalog/book-iskusstvo-vnutrenney-svobody","ссылка на книгу")</f>
        <v>ссылка на книгу</v>
      </c>
      <c r="Y361" s="34" t="str">
        <f>HYPERLINK("https://api-enni.alpina.ru/FilePrivilegesApproval/130","https://api-enni.alpina.ru/FilePrivilegesApproval/130")</f>
        <v>https://api-enni.alpina.ru/FilePrivilegesApproval/130</v>
      </c>
      <c r="Z361" s="13"/>
      <c r="AT361" s="1">
        <f t="shared" si="40"/>
        <v>0</v>
      </c>
      <c r="AU361" s="1">
        <f t="shared" si="41"/>
        <v>0</v>
      </c>
      <c r="AV361" s="1">
        <f t="shared" si="42"/>
        <v>0</v>
      </c>
      <c r="AW361" s="1">
        <f t="shared" si="43"/>
        <v>0</v>
      </c>
      <c r="AX361" s="1">
        <f t="shared" si="44"/>
        <v>0</v>
      </c>
    </row>
    <row r="362" spans="1:50" s="1" customFormat="1" ht="24.95" customHeight="1" outlineLevel="3" x14ac:dyDescent="0.2">
      <c r="A362" s="11"/>
      <c r="B362" s="12">
        <v>550</v>
      </c>
      <c r="C362" s="12">
        <v>790</v>
      </c>
      <c r="D362" s="12">
        <v>31641</v>
      </c>
      <c r="E362" s="13" t="s">
        <v>102</v>
      </c>
      <c r="F362" s="13" t="s">
        <v>103</v>
      </c>
      <c r="G362" s="13" t="s">
        <v>56</v>
      </c>
      <c r="H362" s="13"/>
      <c r="I362" s="12">
        <v>2025</v>
      </c>
      <c r="J362" s="13" t="s">
        <v>104</v>
      </c>
      <c r="K362" s="12">
        <v>9785961499698</v>
      </c>
      <c r="L362" s="13" t="s">
        <v>105</v>
      </c>
      <c r="M362" s="12">
        <v>248</v>
      </c>
      <c r="N362" s="14">
        <v>0.39</v>
      </c>
      <c r="O362" s="12">
        <v>150</v>
      </c>
      <c r="P362" s="12">
        <v>220</v>
      </c>
      <c r="Q362" s="12">
        <v>16</v>
      </c>
      <c r="R362" s="13" t="s">
        <v>43</v>
      </c>
      <c r="S362" s="13"/>
      <c r="T362" s="15">
        <v>3000</v>
      </c>
      <c r="U362" s="13" t="s">
        <v>52</v>
      </c>
      <c r="V362" s="13" t="s">
        <v>59</v>
      </c>
      <c r="W362" s="12">
        <v>10</v>
      </c>
      <c r="X362" s="33" t="str">
        <f>HYPERLINK("https://www.alpinabook.ru/catalog/book-ispytanie-detstvom","ссылка на книгу")</f>
        <v>ссылка на книгу</v>
      </c>
      <c r="Y362" s="34" t="str">
        <f>HYPERLINK("https://api-enni.alpina.ru/FilePrivilegesApproval/856","https://api-enni.alpina.ru/FilePrivilegesApproval/856")</f>
        <v>https://api-enni.alpina.ru/FilePrivilegesApproval/856</v>
      </c>
      <c r="Z362" s="13" t="s">
        <v>83</v>
      </c>
      <c r="AT362" s="1">
        <f t="shared" si="40"/>
        <v>0</v>
      </c>
      <c r="AU362" s="1">
        <f t="shared" si="41"/>
        <v>0</v>
      </c>
      <c r="AV362" s="1">
        <f t="shared" si="42"/>
        <v>0</v>
      </c>
      <c r="AW362" s="1">
        <f t="shared" si="43"/>
        <v>0</v>
      </c>
      <c r="AX362" s="1">
        <f t="shared" si="44"/>
        <v>0</v>
      </c>
    </row>
    <row r="363" spans="1:50" s="1" customFormat="1" ht="24.95" customHeight="1" outlineLevel="3" x14ac:dyDescent="0.2">
      <c r="A363" s="11"/>
      <c r="B363" s="12">
        <v>790</v>
      </c>
      <c r="C363" s="15">
        <v>1190</v>
      </c>
      <c r="D363" s="12">
        <v>31501</v>
      </c>
      <c r="E363" s="13" t="s">
        <v>240</v>
      </c>
      <c r="F363" s="13" t="s">
        <v>1204</v>
      </c>
      <c r="G363" s="13" t="s">
        <v>56</v>
      </c>
      <c r="H363" s="13"/>
      <c r="I363" s="12">
        <v>2024</v>
      </c>
      <c r="J363" s="13" t="s">
        <v>1205</v>
      </c>
      <c r="K363" s="12">
        <v>9785961499070</v>
      </c>
      <c r="L363" s="13" t="s">
        <v>1206</v>
      </c>
      <c r="M363" s="12">
        <v>384</v>
      </c>
      <c r="N363" s="14">
        <v>0.71</v>
      </c>
      <c r="O363" s="12">
        <v>170</v>
      </c>
      <c r="P363" s="12">
        <v>220</v>
      </c>
      <c r="Q363" s="12">
        <v>5</v>
      </c>
      <c r="R363" s="13" t="s">
        <v>100</v>
      </c>
      <c r="S363" s="13"/>
      <c r="T363" s="15">
        <v>2000</v>
      </c>
      <c r="U363" s="13" t="s">
        <v>44</v>
      </c>
      <c r="V363" s="13" t="s">
        <v>45</v>
      </c>
      <c r="W363" s="12">
        <v>10</v>
      </c>
      <c r="X363" s="33" t="str">
        <f>HYPERLINK("https://www.alpinabook.ru/catalog/book-istoriya-iskusstva-dlya-razvitiya-navykov","ссылка на книгу")</f>
        <v>ссылка на книгу</v>
      </c>
      <c r="Y363" s="34" t="str">
        <f>HYPERLINK("https://api-enni.alpina.ru/FilePrivilegesApproval/633","https://api-enni.alpina.ru/FilePrivilegesApproval/633")</f>
        <v>https://api-enni.alpina.ru/FilePrivilegesApproval/633</v>
      </c>
      <c r="Z363" s="13"/>
      <c r="AT363" s="1">
        <f t="shared" ref="AT363:AT426" si="45">IF($A363&lt;&gt;0,1,0)</f>
        <v>0</v>
      </c>
      <c r="AU363" s="1">
        <f t="shared" ref="AU363:AU426" si="46">$A363*$B363</f>
        <v>0</v>
      </c>
      <c r="AV363" s="1">
        <f t="shared" ref="AV363:AV426" si="47">$A363*$N363</f>
        <v>0</v>
      </c>
      <c r="AW363" s="1">
        <f t="shared" ref="AW363:AW426" si="48">IF($Q363=0,0,INT($A363/$Q363))</f>
        <v>0</v>
      </c>
      <c r="AX363" s="1">
        <f t="shared" ref="AX363:AX426" si="49">$A363-$AW363*$Q363</f>
        <v>0</v>
      </c>
    </row>
    <row r="364" spans="1:50" s="1" customFormat="1" ht="24.95" customHeight="1" outlineLevel="3" x14ac:dyDescent="0.2">
      <c r="A364" s="11"/>
      <c r="B364" s="12">
        <v>290</v>
      </c>
      <c r="C364" s="12">
        <v>440</v>
      </c>
      <c r="D364" s="12">
        <v>28442</v>
      </c>
      <c r="E364" s="13" t="s">
        <v>945</v>
      </c>
      <c r="F364" s="13" t="s">
        <v>1207</v>
      </c>
      <c r="G364" s="13" t="s">
        <v>56</v>
      </c>
      <c r="H364" s="13" t="s">
        <v>947</v>
      </c>
      <c r="I364" s="12">
        <v>2025</v>
      </c>
      <c r="J364" s="13" t="s">
        <v>1208</v>
      </c>
      <c r="K364" s="12">
        <v>9785961488937</v>
      </c>
      <c r="L364" s="13" t="s">
        <v>1209</v>
      </c>
      <c r="M364" s="12">
        <v>176</v>
      </c>
      <c r="N364" s="14">
        <v>0.19</v>
      </c>
      <c r="O364" s="12">
        <v>130</v>
      </c>
      <c r="P364" s="12">
        <v>200</v>
      </c>
      <c r="Q364" s="12">
        <v>20</v>
      </c>
      <c r="R364" s="13" t="s">
        <v>82</v>
      </c>
      <c r="S364" s="13" t="s">
        <v>950</v>
      </c>
      <c r="T364" s="15">
        <v>2000</v>
      </c>
      <c r="U364" s="13" t="s">
        <v>44</v>
      </c>
      <c r="V364" s="13" t="s">
        <v>45</v>
      </c>
      <c r="W364" s="12">
        <v>10</v>
      </c>
      <c r="X364" s="33" t="str">
        <f>HYPERLINK("https://www.alpinabook.ru/catalog/book-istselyayushchie-besedy","ссылка на книгу")</f>
        <v>ссылка на книгу</v>
      </c>
      <c r="Y364" s="34" t="str">
        <f>HYPERLINK("https://api-enni.alpina.ru/FilePrivilegesApproval/163","https://api-enni.alpina.ru/FilePrivilegesApproval/163")</f>
        <v>https://api-enni.alpina.ru/FilePrivilegesApproval/163</v>
      </c>
      <c r="Z364" s="13" t="s">
        <v>775</v>
      </c>
      <c r="AT364" s="1">
        <f t="shared" si="45"/>
        <v>0</v>
      </c>
      <c r="AU364" s="1">
        <f t="shared" si="46"/>
        <v>0</v>
      </c>
      <c r="AV364" s="1">
        <f t="shared" si="47"/>
        <v>0</v>
      </c>
      <c r="AW364" s="1">
        <f t="shared" si="48"/>
        <v>0</v>
      </c>
      <c r="AX364" s="1">
        <f t="shared" si="49"/>
        <v>0</v>
      </c>
    </row>
    <row r="365" spans="1:50" s="1" customFormat="1" ht="24.95" customHeight="1" outlineLevel="3" x14ac:dyDescent="0.2">
      <c r="A365" s="11"/>
      <c r="B365" s="12">
        <v>640</v>
      </c>
      <c r="C365" s="12">
        <v>940</v>
      </c>
      <c r="D365" s="12">
        <v>31536</v>
      </c>
      <c r="E365" s="13" t="s">
        <v>106</v>
      </c>
      <c r="F365" s="13" t="s">
        <v>107</v>
      </c>
      <c r="G365" s="13" t="s">
        <v>56</v>
      </c>
      <c r="H365" s="13" t="s">
        <v>40</v>
      </c>
      <c r="I365" s="12">
        <v>2025</v>
      </c>
      <c r="J365" s="13" t="s">
        <v>108</v>
      </c>
      <c r="K365" s="12">
        <v>9785961499179</v>
      </c>
      <c r="L365" s="13" t="s">
        <v>109</v>
      </c>
      <c r="M365" s="12">
        <v>298</v>
      </c>
      <c r="N365" s="14">
        <v>0.37</v>
      </c>
      <c r="O365" s="12">
        <v>140</v>
      </c>
      <c r="P365" s="12">
        <v>210</v>
      </c>
      <c r="Q365" s="12">
        <v>16</v>
      </c>
      <c r="R365" s="13" t="s">
        <v>43</v>
      </c>
      <c r="S365" s="13"/>
      <c r="T365" s="15">
        <v>2000</v>
      </c>
      <c r="U365" s="13" t="s">
        <v>44</v>
      </c>
      <c r="V365" s="13" t="s">
        <v>45</v>
      </c>
      <c r="W365" s="12">
        <v>10</v>
      </c>
      <c r="X365" s="33" t="str">
        <f>HYPERLINK("https://www.alpinabook.ru/catalog/book-k-chyertu-skazki","ссылка на книгу")</f>
        <v>ссылка на книгу</v>
      </c>
      <c r="Y365" s="34" t="str">
        <f>HYPERLINK("https://api-enni.alpina.ru/FilePrivilegesApproval/831","https://api-enni.alpina.ru/FilePrivilegesApproval/831")</f>
        <v>https://api-enni.alpina.ru/FilePrivilegesApproval/831</v>
      </c>
      <c r="Z365" s="13" t="s">
        <v>77</v>
      </c>
      <c r="AT365" s="1">
        <f t="shared" si="45"/>
        <v>0</v>
      </c>
      <c r="AU365" s="1">
        <f t="shared" si="46"/>
        <v>0</v>
      </c>
      <c r="AV365" s="1">
        <f t="shared" si="47"/>
        <v>0</v>
      </c>
      <c r="AW365" s="1">
        <f t="shared" si="48"/>
        <v>0</v>
      </c>
      <c r="AX365" s="1">
        <f t="shared" si="49"/>
        <v>0</v>
      </c>
    </row>
    <row r="366" spans="1:50" s="1" customFormat="1" ht="24.95" customHeight="1" outlineLevel="3" x14ac:dyDescent="0.2">
      <c r="A366" s="11"/>
      <c r="B366" s="12">
        <v>690</v>
      </c>
      <c r="C366" s="12">
        <v>990</v>
      </c>
      <c r="D366" s="12">
        <v>5981</v>
      </c>
      <c r="E366" s="13" t="s">
        <v>1210</v>
      </c>
      <c r="F366" s="13" t="s">
        <v>1211</v>
      </c>
      <c r="G366" s="13" t="s">
        <v>56</v>
      </c>
      <c r="H366" s="13" t="s">
        <v>40</v>
      </c>
      <c r="I366" s="12">
        <v>2025</v>
      </c>
      <c r="J366" s="13" t="s">
        <v>1212</v>
      </c>
      <c r="K366" s="12">
        <v>9785961461206</v>
      </c>
      <c r="L366" s="13" t="s">
        <v>1213</v>
      </c>
      <c r="M366" s="12">
        <v>310</v>
      </c>
      <c r="N366" s="14">
        <v>0.6</v>
      </c>
      <c r="O366" s="12">
        <v>171</v>
      </c>
      <c r="P366" s="12">
        <v>241</v>
      </c>
      <c r="Q366" s="12">
        <v>5</v>
      </c>
      <c r="R366" s="13" t="s">
        <v>94</v>
      </c>
      <c r="S366" s="13"/>
      <c r="T366" s="15">
        <v>1000</v>
      </c>
      <c r="U366" s="13" t="s">
        <v>52</v>
      </c>
      <c r="V366" s="13" t="s">
        <v>64</v>
      </c>
      <c r="W366" s="12">
        <v>10</v>
      </c>
      <c r="X366" s="33" t="str">
        <f>HYPERLINK("https://www.alpinabook.ru/catalog/book-kak-dostich-tseli","ссылка на книгу")</f>
        <v>ссылка на книгу</v>
      </c>
      <c r="Y366" s="34" t="str">
        <f>HYPERLINK("https://api-enni.alpina.ru/FilePrivilegesApproval/157","https://api-enni.alpina.ru/FilePrivilegesApproval/157")</f>
        <v>https://api-enni.alpina.ru/FilePrivilegesApproval/157</v>
      </c>
      <c r="Z366" s="13" t="s">
        <v>387</v>
      </c>
      <c r="AT366" s="1">
        <f t="shared" si="45"/>
        <v>0</v>
      </c>
      <c r="AU366" s="1">
        <f t="shared" si="46"/>
        <v>0</v>
      </c>
      <c r="AV366" s="1">
        <f t="shared" si="47"/>
        <v>0</v>
      </c>
      <c r="AW366" s="1">
        <f t="shared" si="48"/>
        <v>0</v>
      </c>
      <c r="AX366" s="1">
        <f t="shared" si="49"/>
        <v>0</v>
      </c>
    </row>
    <row r="367" spans="1:50" s="1" customFormat="1" ht="24.95" customHeight="1" outlineLevel="3" x14ac:dyDescent="0.2">
      <c r="A367" s="11"/>
      <c r="B367" s="12">
        <v>390</v>
      </c>
      <c r="C367" s="12">
        <v>640</v>
      </c>
      <c r="D367" s="12">
        <v>29101</v>
      </c>
      <c r="E367" s="13" t="s">
        <v>1214</v>
      </c>
      <c r="F367" s="13" t="s">
        <v>1215</v>
      </c>
      <c r="G367" s="13" t="s">
        <v>56</v>
      </c>
      <c r="H367" s="13" t="s">
        <v>40</v>
      </c>
      <c r="I367" s="12">
        <v>2024</v>
      </c>
      <c r="J367" s="13" t="s">
        <v>1216</v>
      </c>
      <c r="K367" s="12">
        <v>9785961491456</v>
      </c>
      <c r="L367" s="13" t="s">
        <v>1217</v>
      </c>
      <c r="M367" s="12">
        <v>191</v>
      </c>
      <c r="N367" s="14">
        <v>0.34</v>
      </c>
      <c r="O367" s="12">
        <v>140</v>
      </c>
      <c r="P367" s="12">
        <v>220</v>
      </c>
      <c r="Q367" s="12">
        <v>16</v>
      </c>
      <c r="R367" s="13" t="s">
        <v>82</v>
      </c>
      <c r="S367" s="13"/>
      <c r="T367" s="15">
        <v>2500</v>
      </c>
      <c r="U367" s="13" t="s">
        <v>268</v>
      </c>
      <c r="V367" s="13" t="s">
        <v>45</v>
      </c>
      <c r="W367" s="12">
        <v>10</v>
      </c>
      <c r="X367" s="33" t="str">
        <f>HYPERLINK("https://www.alpinabook.ru/catalog/book-kak-zhit-27-protivorechivykh-otvetov","ссылка на книгу")</f>
        <v>ссылка на книгу</v>
      </c>
      <c r="Y367" s="34" t="str">
        <f>HYPERLINK("https://api-enni.alpina.ru/FilePrivilegesApproval/379","https://api-enni.alpina.ru/FilePrivilegesApproval/379")</f>
        <v>https://api-enni.alpina.ru/FilePrivilegesApproval/379</v>
      </c>
      <c r="Z367" s="13"/>
      <c r="AT367" s="1">
        <f t="shared" si="45"/>
        <v>0</v>
      </c>
      <c r="AU367" s="1">
        <f t="shared" si="46"/>
        <v>0</v>
      </c>
      <c r="AV367" s="1">
        <f t="shared" si="47"/>
        <v>0</v>
      </c>
      <c r="AW367" s="1">
        <f t="shared" si="48"/>
        <v>0</v>
      </c>
      <c r="AX367" s="1">
        <f t="shared" si="49"/>
        <v>0</v>
      </c>
    </row>
    <row r="368" spans="1:50" s="1" customFormat="1" ht="24.95" customHeight="1" outlineLevel="3" x14ac:dyDescent="0.2">
      <c r="A368" s="11"/>
      <c r="B368" s="12">
        <v>690</v>
      </c>
      <c r="C368" s="12">
        <v>990</v>
      </c>
      <c r="D368" s="12">
        <v>12172</v>
      </c>
      <c r="E368" s="13" t="s">
        <v>1218</v>
      </c>
      <c r="F368" s="13" t="s">
        <v>1219</v>
      </c>
      <c r="G368" s="13" t="s">
        <v>56</v>
      </c>
      <c r="H368" s="13" t="s">
        <v>40</v>
      </c>
      <c r="I368" s="12">
        <v>2025</v>
      </c>
      <c r="J368" s="13" t="s">
        <v>1220</v>
      </c>
      <c r="K368" s="12">
        <v>9785961432251</v>
      </c>
      <c r="L368" s="13" t="s">
        <v>1221</v>
      </c>
      <c r="M368" s="12">
        <v>368</v>
      </c>
      <c r="N368" s="14">
        <v>0.5</v>
      </c>
      <c r="O368" s="12">
        <v>150</v>
      </c>
      <c r="P368" s="12">
        <v>220</v>
      </c>
      <c r="Q368" s="12">
        <v>6</v>
      </c>
      <c r="R368" s="13" t="s">
        <v>43</v>
      </c>
      <c r="S368" s="13"/>
      <c r="T368" s="15">
        <v>1000</v>
      </c>
      <c r="U368" s="13" t="s">
        <v>52</v>
      </c>
      <c r="V368" s="13" t="s">
        <v>64</v>
      </c>
      <c r="W368" s="12">
        <v>10</v>
      </c>
      <c r="X368" s="33" t="str">
        <f>HYPERLINK("https://www.alpinabook.ru/catalog/book-kak-nauchitsya-uchitsya","ссылка на книгу")</f>
        <v>ссылка на книгу</v>
      </c>
      <c r="Y368" s="34" t="str">
        <f>HYPERLINK("https://api-enni.alpina.ru/FilePrivilegesApproval/111","https://api-enni.alpina.ru/FilePrivilegesApproval/111")</f>
        <v>https://api-enni.alpina.ru/FilePrivilegesApproval/111</v>
      </c>
      <c r="Z368" s="13" t="s">
        <v>1222</v>
      </c>
      <c r="AT368" s="1">
        <f t="shared" si="45"/>
        <v>0</v>
      </c>
      <c r="AU368" s="1">
        <f t="shared" si="46"/>
        <v>0</v>
      </c>
      <c r="AV368" s="1">
        <f t="shared" si="47"/>
        <v>0</v>
      </c>
      <c r="AW368" s="1">
        <f t="shared" si="48"/>
        <v>0</v>
      </c>
      <c r="AX368" s="1">
        <f t="shared" si="49"/>
        <v>0</v>
      </c>
    </row>
    <row r="369" spans="1:50" s="1" customFormat="1" ht="24.95" customHeight="1" outlineLevel="3" x14ac:dyDescent="0.2">
      <c r="A369" s="26"/>
      <c r="B369" s="27">
        <v>490</v>
      </c>
      <c r="C369" s="27">
        <v>490</v>
      </c>
      <c r="D369" s="27">
        <v>6281</v>
      </c>
      <c r="E369" s="29" t="s">
        <v>1223</v>
      </c>
      <c r="F369" s="29" t="s">
        <v>1224</v>
      </c>
      <c r="G369" s="29" t="s">
        <v>56</v>
      </c>
      <c r="H369" s="29"/>
      <c r="I369" s="27">
        <v>2017</v>
      </c>
      <c r="J369" s="29" t="s">
        <v>1225</v>
      </c>
      <c r="K369" s="27">
        <v>9785961459159</v>
      </c>
      <c r="L369" s="29" t="s">
        <v>1226</v>
      </c>
      <c r="M369" s="27">
        <v>256</v>
      </c>
      <c r="N369" s="30">
        <v>0.39</v>
      </c>
      <c r="O369" s="27">
        <v>144</v>
      </c>
      <c r="P369" s="27">
        <v>200</v>
      </c>
      <c r="Q369" s="27">
        <v>14</v>
      </c>
      <c r="R369" s="29" t="s">
        <v>43</v>
      </c>
      <c r="S369" s="29"/>
      <c r="T369" s="28">
        <v>2000</v>
      </c>
      <c r="U369" s="29" t="s">
        <v>44</v>
      </c>
      <c r="V369" s="29" t="s">
        <v>64</v>
      </c>
      <c r="W369" s="27">
        <v>10</v>
      </c>
      <c r="X369" s="37" t="str">
        <f>HYPERLINK("https://www.alpinabook.ru/catalog/book-84633","ссылка на книгу")</f>
        <v>ссылка на книгу</v>
      </c>
      <c r="Y369" s="38" t="str">
        <f>HYPERLINK("https://api-enni.alpina.ru/FilePrivilegesApproval/2","https://api-enni.alpina.ru/FilePrivilegesApproval/2")</f>
        <v>https://api-enni.alpina.ru/FilePrivilegesApproval/2</v>
      </c>
      <c r="Z369" s="29"/>
      <c r="AT369" s="1">
        <f t="shared" si="45"/>
        <v>0</v>
      </c>
      <c r="AU369" s="1">
        <f t="shared" si="46"/>
        <v>0</v>
      </c>
      <c r="AV369" s="1">
        <f t="shared" si="47"/>
        <v>0</v>
      </c>
      <c r="AW369" s="1">
        <f t="shared" si="48"/>
        <v>0</v>
      </c>
      <c r="AX369" s="1">
        <f t="shared" si="49"/>
        <v>0</v>
      </c>
    </row>
    <row r="370" spans="1:50" s="1" customFormat="1" ht="24.95" customHeight="1" outlineLevel="3" x14ac:dyDescent="0.2">
      <c r="A370" s="11"/>
      <c r="B370" s="12">
        <v>290</v>
      </c>
      <c r="C370" s="12">
        <v>440</v>
      </c>
      <c r="D370" s="12">
        <v>29527</v>
      </c>
      <c r="E370" s="13" t="s">
        <v>1227</v>
      </c>
      <c r="F370" s="13" t="s">
        <v>1228</v>
      </c>
      <c r="G370" s="13" t="s">
        <v>56</v>
      </c>
      <c r="H370" s="13" t="s">
        <v>40</v>
      </c>
      <c r="I370" s="12">
        <v>2025</v>
      </c>
      <c r="J370" s="13" t="s">
        <v>1229</v>
      </c>
      <c r="K370" s="12">
        <v>9785961492118</v>
      </c>
      <c r="L370" s="13" t="s">
        <v>1230</v>
      </c>
      <c r="M370" s="12">
        <v>218</v>
      </c>
      <c r="N370" s="14">
        <v>0.11</v>
      </c>
      <c r="O370" s="12">
        <v>120</v>
      </c>
      <c r="P370" s="12">
        <v>170</v>
      </c>
      <c r="Q370" s="12">
        <v>22</v>
      </c>
      <c r="R370" s="13" t="s">
        <v>75</v>
      </c>
      <c r="S370" s="13" t="s">
        <v>76</v>
      </c>
      <c r="T370" s="15">
        <v>2000</v>
      </c>
      <c r="U370" s="13" t="s">
        <v>44</v>
      </c>
      <c r="V370" s="13" t="s">
        <v>59</v>
      </c>
      <c r="W370" s="12">
        <v>10</v>
      </c>
      <c r="X370" s="33" t="str">
        <f>HYPERLINK("https://www.alpinabook.ru/catalog/book-kak-obshchatsya-s-trudnymi-lyudmi","ссылка на книгу")</f>
        <v>ссылка на книгу</v>
      </c>
      <c r="Y370" s="34" t="str">
        <f>HYPERLINK("https://api-enni.alpina.ru/FilePrivilegesApproval/128","https://api-enni.alpina.ru/FilePrivilegesApproval/128")</f>
        <v>https://api-enni.alpina.ru/FilePrivilegesApproval/128</v>
      </c>
      <c r="Z370" s="13"/>
      <c r="AT370" s="1">
        <f t="shared" si="45"/>
        <v>0</v>
      </c>
      <c r="AU370" s="1">
        <f t="shared" si="46"/>
        <v>0</v>
      </c>
      <c r="AV370" s="1">
        <f t="shared" si="47"/>
        <v>0</v>
      </c>
      <c r="AW370" s="1">
        <f t="shared" si="48"/>
        <v>0</v>
      </c>
      <c r="AX370" s="1">
        <f t="shared" si="49"/>
        <v>0</v>
      </c>
    </row>
    <row r="371" spans="1:50" s="1" customFormat="1" ht="24.95" customHeight="1" outlineLevel="3" x14ac:dyDescent="0.2">
      <c r="A371" s="11"/>
      <c r="B371" s="12">
        <v>590</v>
      </c>
      <c r="C371" s="12">
        <v>790</v>
      </c>
      <c r="D371" s="12">
        <v>17422</v>
      </c>
      <c r="E371" s="13" t="s">
        <v>1231</v>
      </c>
      <c r="F371" s="13" t="s">
        <v>1232</v>
      </c>
      <c r="G371" s="13" t="s">
        <v>56</v>
      </c>
      <c r="H371" s="13"/>
      <c r="I371" s="12">
        <v>2025</v>
      </c>
      <c r="J371" s="13" t="s">
        <v>1233</v>
      </c>
      <c r="K371" s="12">
        <v>9785961481365</v>
      </c>
      <c r="L371" s="13" t="s">
        <v>1234</v>
      </c>
      <c r="M371" s="12">
        <v>413</v>
      </c>
      <c r="N371" s="14">
        <v>0.43</v>
      </c>
      <c r="O371" s="12">
        <v>130</v>
      </c>
      <c r="P371" s="12">
        <v>200</v>
      </c>
      <c r="Q371" s="12">
        <v>6</v>
      </c>
      <c r="R371" s="13" t="s">
        <v>82</v>
      </c>
      <c r="S371" s="13"/>
      <c r="T371" s="15">
        <v>1000</v>
      </c>
      <c r="U371" s="13" t="s">
        <v>44</v>
      </c>
      <c r="V371" s="13" t="s">
        <v>45</v>
      </c>
      <c r="W371" s="12">
        <v>10</v>
      </c>
      <c r="X371" s="33" t="str">
        <f>HYPERLINK("https://www.alpinabook.ru/catalog/book-kak-pravilno","ссылка на книгу")</f>
        <v>ссылка на книгу</v>
      </c>
      <c r="Y371" s="34" t="str">
        <f>HYPERLINK("https://api-enni.alpina.ru/FilePrivilegesApproval/205","https://api-enni.alpina.ru/FilePrivilegesApproval/205")</f>
        <v>https://api-enni.alpina.ru/FilePrivilegesApproval/205</v>
      </c>
      <c r="Z371" s="13" t="s">
        <v>405</v>
      </c>
      <c r="AT371" s="1">
        <f t="shared" si="45"/>
        <v>0</v>
      </c>
      <c r="AU371" s="1">
        <f t="shared" si="46"/>
        <v>0</v>
      </c>
      <c r="AV371" s="1">
        <f t="shared" si="47"/>
        <v>0</v>
      </c>
      <c r="AW371" s="1">
        <f t="shared" si="48"/>
        <v>0</v>
      </c>
      <c r="AX371" s="1">
        <f t="shared" si="49"/>
        <v>0</v>
      </c>
    </row>
    <row r="372" spans="1:50" s="1" customFormat="1" ht="24.95" customHeight="1" outlineLevel="3" x14ac:dyDescent="0.2">
      <c r="A372" s="11"/>
      <c r="B372" s="12">
        <v>340</v>
      </c>
      <c r="C372" s="12">
        <v>540</v>
      </c>
      <c r="D372" s="12">
        <v>26938</v>
      </c>
      <c r="E372" s="13" t="s">
        <v>1227</v>
      </c>
      <c r="F372" s="13" t="s">
        <v>1235</v>
      </c>
      <c r="G372" s="13" t="s">
        <v>56</v>
      </c>
      <c r="H372" s="13" t="s">
        <v>40</v>
      </c>
      <c r="I372" s="12">
        <v>2023</v>
      </c>
      <c r="J372" s="13" t="s">
        <v>1236</v>
      </c>
      <c r="K372" s="12">
        <v>9785961483406</v>
      </c>
      <c r="L372" s="13" t="s">
        <v>1237</v>
      </c>
      <c r="M372" s="12">
        <v>154</v>
      </c>
      <c r="N372" s="14">
        <v>0.25</v>
      </c>
      <c r="O372" s="12">
        <v>140</v>
      </c>
      <c r="P372" s="12">
        <v>210</v>
      </c>
      <c r="Q372" s="12">
        <v>20</v>
      </c>
      <c r="R372" s="13" t="s">
        <v>43</v>
      </c>
      <c r="S372" s="13"/>
      <c r="T372" s="15">
        <v>2000</v>
      </c>
      <c r="U372" s="13" t="s">
        <v>44</v>
      </c>
      <c r="V372" s="13" t="s">
        <v>45</v>
      </c>
      <c r="W372" s="12">
        <v>10</v>
      </c>
      <c r="X372" s="33" t="str">
        <f>HYPERLINK("https://www.alpinabook.ru/catalog/book-kak-spravlyatsya-s-trudnymi-situatsiyami","ссылка на книгу")</f>
        <v>ссылка на книгу</v>
      </c>
      <c r="Y372" s="34" t="str">
        <f>HYPERLINK("https://api-enni.alpina.ru/FilePrivilegesApproval/224","https://api-enni.alpina.ru/FilePrivilegesApproval/224")</f>
        <v>https://api-enni.alpina.ru/FilePrivilegesApproval/224</v>
      </c>
      <c r="Z372" s="13"/>
      <c r="AT372" s="1">
        <f t="shared" si="45"/>
        <v>0</v>
      </c>
      <c r="AU372" s="1">
        <f t="shared" si="46"/>
        <v>0</v>
      </c>
      <c r="AV372" s="1">
        <f t="shared" si="47"/>
        <v>0</v>
      </c>
      <c r="AW372" s="1">
        <f t="shared" si="48"/>
        <v>0</v>
      </c>
      <c r="AX372" s="1">
        <f t="shared" si="49"/>
        <v>0</v>
      </c>
    </row>
    <row r="373" spans="1:50" s="1" customFormat="1" ht="24.95" customHeight="1" outlineLevel="3" x14ac:dyDescent="0.2">
      <c r="A373" s="11"/>
      <c r="B373" s="12">
        <v>640</v>
      </c>
      <c r="C373" s="12">
        <v>940</v>
      </c>
      <c r="D373" s="12">
        <v>26928</v>
      </c>
      <c r="E373" s="13" t="s">
        <v>1238</v>
      </c>
      <c r="F373" s="13" t="s">
        <v>1239</v>
      </c>
      <c r="G373" s="13" t="s">
        <v>97</v>
      </c>
      <c r="H373" s="13"/>
      <c r="I373" s="12">
        <v>2023</v>
      </c>
      <c r="J373" s="13" t="s">
        <v>1240</v>
      </c>
      <c r="K373" s="12">
        <v>9785206001143</v>
      </c>
      <c r="L373" s="13" t="s">
        <v>1241</v>
      </c>
      <c r="M373" s="12">
        <v>146</v>
      </c>
      <c r="N373" s="14">
        <v>0.3</v>
      </c>
      <c r="O373" s="12">
        <v>150</v>
      </c>
      <c r="P373" s="12">
        <v>220</v>
      </c>
      <c r="Q373" s="12">
        <v>8</v>
      </c>
      <c r="R373" s="13" t="s">
        <v>43</v>
      </c>
      <c r="S373" s="13"/>
      <c r="T373" s="15">
        <v>1000</v>
      </c>
      <c r="U373" s="13" t="s">
        <v>52</v>
      </c>
      <c r="V373" s="13" t="s">
        <v>59</v>
      </c>
      <c r="W373" s="12">
        <v>10</v>
      </c>
      <c r="X373" s="33" t="str">
        <f>HYPERLINK("https://www.alpinabook.ru/catalog/book-karera-legko","ссылка на книгу")</f>
        <v>ссылка на книгу</v>
      </c>
      <c r="Y373" s="34" t="str">
        <f>HYPERLINK("https://api-enni.alpina.ru/FilePrivilegesApproval/223","https://api-enni.alpina.ru/FilePrivilegesApproval/223")</f>
        <v>https://api-enni.alpina.ru/FilePrivilegesApproval/223</v>
      </c>
      <c r="Z373" s="13"/>
      <c r="AT373" s="1">
        <f t="shared" si="45"/>
        <v>0</v>
      </c>
      <c r="AU373" s="1">
        <f t="shared" si="46"/>
        <v>0</v>
      </c>
      <c r="AV373" s="1">
        <f t="shared" si="47"/>
        <v>0</v>
      </c>
      <c r="AW373" s="1">
        <f t="shared" si="48"/>
        <v>0</v>
      </c>
      <c r="AX373" s="1">
        <f t="shared" si="49"/>
        <v>0</v>
      </c>
    </row>
    <row r="374" spans="1:50" s="1" customFormat="1" ht="24.95" customHeight="1" outlineLevel="3" x14ac:dyDescent="0.2">
      <c r="A374" s="11"/>
      <c r="B374" s="12">
        <v>690</v>
      </c>
      <c r="C374" s="12">
        <v>990</v>
      </c>
      <c r="D374" s="12">
        <v>28808</v>
      </c>
      <c r="E374" s="13" t="s">
        <v>1242</v>
      </c>
      <c r="F374" s="13" t="s">
        <v>1243</v>
      </c>
      <c r="G374" s="13" t="s">
        <v>56</v>
      </c>
      <c r="H374" s="13" t="s">
        <v>40</v>
      </c>
      <c r="I374" s="12">
        <v>2025</v>
      </c>
      <c r="J374" s="13" t="s">
        <v>1244</v>
      </c>
      <c r="K374" s="12">
        <v>9785961490121</v>
      </c>
      <c r="L374" s="13" t="s">
        <v>1245</v>
      </c>
      <c r="M374" s="12">
        <v>256</v>
      </c>
      <c r="N374" s="14">
        <v>0.5</v>
      </c>
      <c r="O374" s="12">
        <v>150</v>
      </c>
      <c r="P374" s="12">
        <v>220</v>
      </c>
      <c r="Q374" s="12">
        <v>12</v>
      </c>
      <c r="R374" s="13" t="s">
        <v>43</v>
      </c>
      <c r="S374" s="13"/>
      <c r="T374" s="15">
        <v>3000</v>
      </c>
      <c r="U374" s="13" t="s">
        <v>52</v>
      </c>
      <c r="V374" s="13" t="s">
        <v>64</v>
      </c>
      <c r="W374" s="12">
        <v>10</v>
      </c>
      <c r="X374" s="33" t="str">
        <f>HYPERLINK("https://www.alpinabook.ru/catalog/book-kniga-lyubvi-k-sebe","ссылка на книгу")</f>
        <v>ссылка на книгу</v>
      </c>
      <c r="Y374" s="34" t="str">
        <f>HYPERLINK("https://api-enni.alpina.ru/FilePrivilegesApproval/339","https://api-enni.alpina.ru/FilePrivilegesApproval/339")</f>
        <v>https://api-enni.alpina.ru/FilePrivilegesApproval/339</v>
      </c>
      <c r="Z374" s="13" t="s">
        <v>567</v>
      </c>
      <c r="AT374" s="1">
        <f t="shared" si="45"/>
        <v>0</v>
      </c>
      <c r="AU374" s="1">
        <f t="shared" si="46"/>
        <v>0</v>
      </c>
      <c r="AV374" s="1">
        <f t="shared" si="47"/>
        <v>0</v>
      </c>
      <c r="AW374" s="1">
        <f t="shared" si="48"/>
        <v>0</v>
      </c>
      <c r="AX374" s="1">
        <f t="shared" si="49"/>
        <v>0</v>
      </c>
    </row>
    <row r="375" spans="1:50" s="1" customFormat="1" ht="24.95" customHeight="1" outlineLevel="3" x14ac:dyDescent="0.2">
      <c r="A375" s="11"/>
      <c r="B375" s="12">
        <v>590</v>
      </c>
      <c r="C375" s="12">
        <v>840</v>
      </c>
      <c r="D375" s="12">
        <v>8510</v>
      </c>
      <c r="E375" s="13" t="s">
        <v>489</v>
      </c>
      <c r="F375" s="13" t="s">
        <v>490</v>
      </c>
      <c r="G375" s="13" t="s">
        <v>56</v>
      </c>
      <c r="H375" s="13" t="s">
        <v>40</v>
      </c>
      <c r="I375" s="12">
        <v>2025</v>
      </c>
      <c r="J375" s="13" t="s">
        <v>491</v>
      </c>
      <c r="K375" s="12">
        <v>9785961468021</v>
      </c>
      <c r="L375" s="13" t="s">
        <v>492</v>
      </c>
      <c r="M375" s="12">
        <v>336</v>
      </c>
      <c r="N375" s="14">
        <v>0.45</v>
      </c>
      <c r="O375" s="12">
        <v>155</v>
      </c>
      <c r="P375" s="12">
        <v>217</v>
      </c>
      <c r="Q375" s="12">
        <v>5</v>
      </c>
      <c r="R375" s="13" t="s">
        <v>43</v>
      </c>
      <c r="S375" s="13"/>
      <c r="T375" s="15">
        <v>1000</v>
      </c>
      <c r="U375" s="13" t="s">
        <v>52</v>
      </c>
      <c r="V375" s="13" t="s">
        <v>64</v>
      </c>
      <c r="W375" s="12">
        <v>10</v>
      </c>
      <c r="X375" s="33" t="str">
        <f>HYPERLINK("https://www.alpinabook.ru/catalog/book-kniga-o-poteryannom-vremeni","ссылка на книгу")</f>
        <v>ссылка на книгу</v>
      </c>
      <c r="Y375" s="34" t="str">
        <f>HYPERLINK("https://api-enni.alpina.ru/FilePrivilegesApproval/2","https://api-enni.alpina.ru/FilePrivilegesApproval/2")</f>
        <v>https://api-enni.alpina.ru/FilePrivilegesApproval/2</v>
      </c>
      <c r="Z375" s="13" t="s">
        <v>65</v>
      </c>
      <c r="AT375" s="1">
        <f t="shared" si="45"/>
        <v>0</v>
      </c>
      <c r="AU375" s="1">
        <f t="shared" si="46"/>
        <v>0</v>
      </c>
      <c r="AV375" s="1">
        <f t="shared" si="47"/>
        <v>0</v>
      </c>
      <c r="AW375" s="1">
        <f t="shared" si="48"/>
        <v>0</v>
      </c>
      <c r="AX375" s="1">
        <f t="shared" si="49"/>
        <v>0</v>
      </c>
    </row>
    <row r="376" spans="1:50" s="1" customFormat="1" ht="24.95" customHeight="1" outlineLevel="3" x14ac:dyDescent="0.2">
      <c r="A376" s="11"/>
      <c r="B376" s="12">
        <v>890</v>
      </c>
      <c r="C376" s="12">
        <v>890</v>
      </c>
      <c r="D376" s="12">
        <v>12822</v>
      </c>
      <c r="E376" s="13" t="s">
        <v>1246</v>
      </c>
      <c r="F376" s="13" t="s">
        <v>1247</v>
      </c>
      <c r="G376" s="13" t="s">
        <v>56</v>
      </c>
      <c r="H376" s="13" t="s">
        <v>40</v>
      </c>
      <c r="I376" s="12">
        <v>2024</v>
      </c>
      <c r="J376" s="13" t="s">
        <v>1248</v>
      </c>
      <c r="K376" s="12">
        <v>9785961428278</v>
      </c>
      <c r="L376" s="13" t="s">
        <v>1249</v>
      </c>
      <c r="M376" s="12">
        <v>264</v>
      </c>
      <c r="N376" s="14">
        <v>0.42</v>
      </c>
      <c r="O376" s="12">
        <v>169</v>
      </c>
      <c r="P376" s="12">
        <v>239</v>
      </c>
      <c r="Q376" s="12">
        <v>10</v>
      </c>
      <c r="R376" s="13" t="s">
        <v>94</v>
      </c>
      <c r="S376" s="13"/>
      <c r="T376" s="15">
        <v>1500</v>
      </c>
      <c r="U376" s="13" t="s">
        <v>44</v>
      </c>
      <c r="V376" s="13" t="s">
        <v>269</v>
      </c>
      <c r="W376" s="12">
        <v>10</v>
      </c>
      <c r="X376" s="33" t="str">
        <f>HYPERLINK("https://www.alpinabook.ru/catalog/book-koaktivnyy-kouching","ссылка на книгу")</f>
        <v>ссылка на книгу</v>
      </c>
      <c r="Y376" s="34" t="str">
        <f>HYPERLINK("https://api-enni.alpina.ru/FilePrivilegesApproval/157","https://api-enni.alpina.ru/FilePrivilegesApproval/157")</f>
        <v>https://api-enni.alpina.ru/FilePrivilegesApproval/157</v>
      </c>
      <c r="Z376" s="13"/>
      <c r="AT376" s="1">
        <f t="shared" si="45"/>
        <v>0</v>
      </c>
      <c r="AU376" s="1">
        <f t="shared" si="46"/>
        <v>0</v>
      </c>
      <c r="AV376" s="1">
        <f t="shared" si="47"/>
        <v>0</v>
      </c>
      <c r="AW376" s="1">
        <f t="shared" si="48"/>
        <v>0</v>
      </c>
      <c r="AX376" s="1">
        <f t="shared" si="49"/>
        <v>0</v>
      </c>
    </row>
    <row r="377" spans="1:50" s="1" customFormat="1" ht="24.95" customHeight="1" outlineLevel="3" x14ac:dyDescent="0.2">
      <c r="A377" s="11"/>
      <c r="B377" s="12">
        <v>540</v>
      </c>
      <c r="C377" s="12">
        <v>540</v>
      </c>
      <c r="D377" s="12">
        <v>7789</v>
      </c>
      <c r="E377" s="13" t="s">
        <v>1250</v>
      </c>
      <c r="F377" s="13" t="s">
        <v>1251</v>
      </c>
      <c r="G377" s="13" t="s">
        <v>97</v>
      </c>
      <c r="H377" s="13"/>
      <c r="I377" s="12">
        <v>2025</v>
      </c>
      <c r="J377" s="13" t="s">
        <v>1252</v>
      </c>
      <c r="K377" s="12">
        <v>9785907274761</v>
      </c>
      <c r="L377" s="13" t="s">
        <v>1253</v>
      </c>
      <c r="M377" s="12">
        <v>248</v>
      </c>
      <c r="N377" s="14">
        <v>0.4</v>
      </c>
      <c r="O377" s="12">
        <v>146</v>
      </c>
      <c r="P377" s="12">
        <v>216</v>
      </c>
      <c r="Q377" s="12">
        <v>8</v>
      </c>
      <c r="R377" s="13" t="s">
        <v>43</v>
      </c>
      <c r="S377" s="13"/>
      <c r="T377" s="15">
        <v>1000</v>
      </c>
      <c r="U377" s="13" t="s">
        <v>52</v>
      </c>
      <c r="V377" s="13" t="s">
        <v>64</v>
      </c>
      <c r="W377" s="12">
        <v>10</v>
      </c>
      <c r="X377" s="33" t="str">
        <f>HYPERLINK("https://www.alpinabook.ru/catalog/book-krizisy-lichnykh-otnosheniy","ссылка на книгу")</f>
        <v>ссылка на книгу</v>
      </c>
      <c r="Y377" s="34" t="str">
        <f>HYPERLINK("https://api-enni.alpina.ru/FilePrivilegesApproval/503","https://api-enni.alpina.ru/FilePrivilegesApproval/503")</f>
        <v>https://api-enni.alpina.ru/FilePrivilegesApproval/503</v>
      </c>
      <c r="Z377" s="13" t="s">
        <v>1254</v>
      </c>
      <c r="AT377" s="1">
        <f t="shared" si="45"/>
        <v>0</v>
      </c>
      <c r="AU377" s="1">
        <f t="shared" si="46"/>
        <v>0</v>
      </c>
      <c r="AV377" s="1">
        <f t="shared" si="47"/>
        <v>0</v>
      </c>
      <c r="AW377" s="1">
        <f t="shared" si="48"/>
        <v>0</v>
      </c>
      <c r="AX377" s="1">
        <f t="shared" si="49"/>
        <v>0</v>
      </c>
    </row>
    <row r="378" spans="1:50" s="1" customFormat="1" ht="24.95" customHeight="1" outlineLevel="3" x14ac:dyDescent="0.2">
      <c r="A378" s="11"/>
      <c r="B378" s="15">
        <v>1190</v>
      </c>
      <c r="C378" s="15">
        <v>1690</v>
      </c>
      <c r="D378" s="12">
        <v>8429</v>
      </c>
      <c r="E378" s="13" t="s">
        <v>1255</v>
      </c>
      <c r="F378" s="13" t="s">
        <v>1256</v>
      </c>
      <c r="G378" s="13" t="s">
        <v>56</v>
      </c>
      <c r="H378" s="13" t="s">
        <v>40</v>
      </c>
      <c r="I378" s="12">
        <v>2025</v>
      </c>
      <c r="J378" s="13" t="s">
        <v>1257</v>
      </c>
      <c r="K378" s="12">
        <v>9785961420814</v>
      </c>
      <c r="L378" s="13" t="s">
        <v>1258</v>
      </c>
      <c r="M378" s="12">
        <v>328</v>
      </c>
      <c r="N378" s="14">
        <v>0.95</v>
      </c>
      <c r="O378" s="12">
        <v>190</v>
      </c>
      <c r="P378" s="12">
        <v>250</v>
      </c>
      <c r="Q378" s="12">
        <v>5</v>
      </c>
      <c r="R378" s="13" t="s">
        <v>300</v>
      </c>
      <c r="S378" s="13"/>
      <c r="T378" s="15">
        <v>3000</v>
      </c>
      <c r="U378" s="13" t="s">
        <v>44</v>
      </c>
      <c r="V378" s="13" t="s">
        <v>59</v>
      </c>
      <c r="W378" s="12">
        <v>10</v>
      </c>
      <c r="X378" s="33" t="str">
        <f>HYPERLINK("https://www.alpinabook.ru/catalog/book-kriticheskoe-myshlenie","ссылка на книгу")</f>
        <v>ссылка на книгу</v>
      </c>
      <c r="Y378" s="34" t="str">
        <f>HYPERLINK("https://api-enni.alpina.ru/FilePrivilegesApproval/141","https://api-enni.alpina.ru/FilePrivilegesApproval/141")</f>
        <v>https://api-enni.alpina.ru/FilePrivilegesApproval/141</v>
      </c>
      <c r="Z378" s="13"/>
      <c r="AT378" s="1">
        <f t="shared" si="45"/>
        <v>0</v>
      </c>
      <c r="AU378" s="1">
        <f t="shared" si="46"/>
        <v>0</v>
      </c>
      <c r="AV378" s="1">
        <f t="shared" si="47"/>
        <v>0</v>
      </c>
      <c r="AW378" s="1">
        <f t="shared" si="48"/>
        <v>0</v>
      </c>
      <c r="AX378" s="1">
        <f t="shared" si="49"/>
        <v>0</v>
      </c>
    </row>
    <row r="379" spans="1:50" s="1" customFormat="1" ht="24.95" customHeight="1" outlineLevel="3" x14ac:dyDescent="0.2">
      <c r="A379" s="11"/>
      <c r="B379" s="12">
        <v>590</v>
      </c>
      <c r="C379" s="12">
        <v>590</v>
      </c>
      <c r="D379" s="12">
        <v>20534</v>
      </c>
      <c r="E379" s="13" t="s">
        <v>1259</v>
      </c>
      <c r="F379" s="13" t="s">
        <v>1260</v>
      </c>
      <c r="G379" s="13" t="s">
        <v>56</v>
      </c>
      <c r="H379" s="13" t="s">
        <v>164</v>
      </c>
      <c r="I379" s="12">
        <v>2021</v>
      </c>
      <c r="J379" s="13" t="s">
        <v>1261</v>
      </c>
      <c r="K379" s="12">
        <v>9785961473186</v>
      </c>
      <c r="L379" s="13" t="s">
        <v>1262</v>
      </c>
      <c r="M379" s="12">
        <v>252</v>
      </c>
      <c r="N379" s="14">
        <v>0.48</v>
      </c>
      <c r="O379" s="12">
        <v>146</v>
      </c>
      <c r="P379" s="12">
        <v>216</v>
      </c>
      <c r="Q379" s="12">
        <v>12</v>
      </c>
      <c r="R379" s="13" t="s">
        <v>43</v>
      </c>
      <c r="S379" s="13"/>
      <c r="T379" s="15">
        <v>3000</v>
      </c>
      <c r="U379" s="13" t="s">
        <v>52</v>
      </c>
      <c r="V379" s="13" t="s">
        <v>45</v>
      </c>
      <c r="W379" s="12">
        <v>10</v>
      </c>
      <c r="X379" s="33" t="str">
        <f>HYPERLINK("https://www.alpinabook.ru/catalog/book-721458","ссылка на книгу")</f>
        <v>ссылка на книгу</v>
      </c>
      <c r="Y379" s="34" t="str">
        <f>HYPERLINK("https://api-enni.alpina.ru/FilePrivilegesApproval/111","https://api-enni.alpina.ru/FilePrivilegesApproval/111")</f>
        <v>https://api-enni.alpina.ru/FilePrivilegesApproval/111</v>
      </c>
      <c r="Z379" s="13"/>
      <c r="AT379" s="1">
        <f t="shared" si="45"/>
        <v>0</v>
      </c>
      <c r="AU379" s="1">
        <f t="shared" si="46"/>
        <v>0</v>
      </c>
      <c r="AV379" s="1">
        <f t="shared" si="47"/>
        <v>0</v>
      </c>
      <c r="AW379" s="1">
        <f t="shared" si="48"/>
        <v>0</v>
      </c>
      <c r="AX379" s="1">
        <f t="shared" si="49"/>
        <v>0</v>
      </c>
    </row>
    <row r="380" spans="1:50" s="1" customFormat="1" ht="24.95" customHeight="1" outlineLevel="3" x14ac:dyDescent="0.2">
      <c r="A380" s="26"/>
      <c r="B380" s="27">
        <v>340</v>
      </c>
      <c r="C380" s="27">
        <v>540</v>
      </c>
      <c r="D380" s="27">
        <v>28822</v>
      </c>
      <c r="E380" s="29" t="s">
        <v>518</v>
      </c>
      <c r="F380" s="29" t="s">
        <v>1263</v>
      </c>
      <c r="G380" s="29" t="s">
        <v>56</v>
      </c>
      <c r="H380" s="29" t="s">
        <v>40</v>
      </c>
      <c r="I380" s="27">
        <v>2023</v>
      </c>
      <c r="J380" s="29" t="s">
        <v>1264</v>
      </c>
      <c r="K380" s="27">
        <v>9785961490176</v>
      </c>
      <c r="L380" s="29" t="s">
        <v>1265</v>
      </c>
      <c r="M380" s="27">
        <v>352</v>
      </c>
      <c r="N380" s="30">
        <v>0.23</v>
      </c>
      <c r="O380" s="27">
        <v>120</v>
      </c>
      <c r="P380" s="27">
        <v>170</v>
      </c>
      <c r="Q380" s="27">
        <v>18</v>
      </c>
      <c r="R380" s="29" t="s">
        <v>75</v>
      </c>
      <c r="S380" s="29" t="s">
        <v>253</v>
      </c>
      <c r="T380" s="28">
        <v>2000</v>
      </c>
      <c r="U380" s="29" t="s">
        <v>44</v>
      </c>
      <c r="V380" s="29" t="s">
        <v>59</v>
      </c>
      <c r="W380" s="27">
        <v>10</v>
      </c>
      <c r="X380" s="37" t="str">
        <f>HYPERLINK("https://www.alpinabook.ru/catalog/book-luchshe-kazhdyy-den","ссылка на книгу")</f>
        <v>ссылка на книгу</v>
      </c>
      <c r="Y380" s="38" t="str">
        <f>HYPERLINK("https://api-enni.alpina.ru/FilePrivilegesApproval/302","https://api-enni.alpina.ru/FilePrivilegesApproval/302")</f>
        <v>https://api-enni.alpina.ru/FilePrivilegesApproval/302</v>
      </c>
      <c r="Z380" s="29"/>
      <c r="AT380" s="1">
        <f t="shared" si="45"/>
        <v>0</v>
      </c>
      <c r="AU380" s="1">
        <f t="shared" si="46"/>
        <v>0</v>
      </c>
      <c r="AV380" s="1">
        <f t="shared" si="47"/>
        <v>0</v>
      </c>
      <c r="AW380" s="1">
        <f t="shared" si="48"/>
        <v>0</v>
      </c>
      <c r="AX380" s="1">
        <f t="shared" si="49"/>
        <v>0</v>
      </c>
    </row>
    <row r="381" spans="1:50" s="1" customFormat="1" ht="24.95" customHeight="1" outlineLevel="3" x14ac:dyDescent="0.2">
      <c r="A381" s="11"/>
      <c r="B381" s="12">
        <v>590</v>
      </c>
      <c r="C381" s="12">
        <v>840</v>
      </c>
      <c r="D381" s="12">
        <v>7646</v>
      </c>
      <c r="E381" s="13" t="s">
        <v>518</v>
      </c>
      <c r="F381" s="13" t="s">
        <v>519</v>
      </c>
      <c r="G381" s="13" t="s">
        <v>56</v>
      </c>
      <c r="H381" s="13" t="s">
        <v>40</v>
      </c>
      <c r="I381" s="12">
        <v>2025</v>
      </c>
      <c r="J381" s="13" t="s">
        <v>520</v>
      </c>
      <c r="K381" s="12">
        <v>9785961465655</v>
      </c>
      <c r="L381" s="13" t="s">
        <v>521</v>
      </c>
      <c r="M381" s="12">
        <v>304</v>
      </c>
      <c r="N381" s="14">
        <v>0.46</v>
      </c>
      <c r="O381" s="12">
        <v>146</v>
      </c>
      <c r="P381" s="12">
        <v>216</v>
      </c>
      <c r="Q381" s="12">
        <v>5</v>
      </c>
      <c r="R381" s="13" t="s">
        <v>43</v>
      </c>
      <c r="S381" s="13"/>
      <c r="T381" s="15">
        <v>1000</v>
      </c>
      <c r="U381" s="13" t="s">
        <v>52</v>
      </c>
      <c r="V381" s="13" t="s">
        <v>59</v>
      </c>
      <c r="W381" s="12">
        <v>10</v>
      </c>
      <c r="X381" s="33" t="str">
        <f>HYPERLINK("https://www.alpinabook.ru/catalog/book-luchshe-kazhdyy-den","ссылка на книгу")</f>
        <v>ссылка на книгу</v>
      </c>
      <c r="Y381" s="34" t="str">
        <f>HYPERLINK("https://api-enni.alpina.ru/FilePrivilegesApproval/2","https://api-enni.alpina.ru/FilePrivilegesApproval/2")</f>
        <v>https://api-enni.alpina.ru/FilePrivilegesApproval/2</v>
      </c>
      <c r="Z381" s="13" t="s">
        <v>118</v>
      </c>
      <c r="AT381" s="1">
        <f t="shared" si="45"/>
        <v>0</v>
      </c>
      <c r="AU381" s="1">
        <f t="shared" si="46"/>
        <v>0</v>
      </c>
      <c r="AV381" s="1">
        <f t="shared" si="47"/>
        <v>0</v>
      </c>
      <c r="AW381" s="1">
        <f t="shared" si="48"/>
        <v>0</v>
      </c>
      <c r="AX381" s="1">
        <f t="shared" si="49"/>
        <v>0</v>
      </c>
    </row>
    <row r="382" spans="1:50" s="1" customFormat="1" ht="24.95" customHeight="1" outlineLevel="3" x14ac:dyDescent="0.2">
      <c r="A382" s="11"/>
      <c r="B382" s="12">
        <v>590</v>
      </c>
      <c r="C382" s="12">
        <v>840</v>
      </c>
      <c r="D382" s="12">
        <v>29297</v>
      </c>
      <c r="E382" s="13" t="s">
        <v>1266</v>
      </c>
      <c r="F382" s="13" t="s">
        <v>1267</v>
      </c>
      <c r="G382" s="13" t="s">
        <v>56</v>
      </c>
      <c r="H382" s="13" t="s">
        <v>40</v>
      </c>
      <c r="I382" s="12">
        <v>2024</v>
      </c>
      <c r="J382" s="13" t="s">
        <v>1268</v>
      </c>
      <c r="K382" s="12">
        <v>9785961492125</v>
      </c>
      <c r="L382" s="13" t="s">
        <v>1269</v>
      </c>
      <c r="M382" s="12">
        <v>360</v>
      </c>
      <c r="N382" s="14">
        <v>0.44</v>
      </c>
      <c r="O382" s="12">
        <v>140</v>
      </c>
      <c r="P382" s="12">
        <v>210</v>
      </c>
      <c r="Q382" s="12">
        <v>12</v>
      </c>
      <c r="R382" s="13" t="s">
        <v>43</v>
      </c>
      <c r="S382" s="13"/>
      <c r="T382" s="15">
        <v>2000</v>
      </c>
      <c r="U382" s="13" t="s">
        <v>44</v>
      </c>
      <c r="V382" s="13" t="s">
        <v>45</v>
      </c>
      <c r="W382" s="12">
        <v>10</v>
      </c>
      <c r="X382" s="33" t="str">
        <f>HYPERLINK("https://www.alpinabook.ru/catalog/book-lyubit-ne-bolno","ссылка на книгу")</f>
        <v>ссылка на книгу</v>
      </c>
      <c r="Y382" s="34" t="str">
        <f>HYPERLINK("https://api-enni.alpina.ru/FilePrivilegesApproval/396","https://api-enni.alpina.ru/FilePrivilegesApproval/396")</f>
        <v>https://api-enni.alpina.ru/FilePrivilegesApproval/396</v>
      </c>
      <c r="Z382" s="13"/>
      <c r="AT382" s="1">
        <f t="shared" si="45"/>
        <v>0</v>
      </c>
      <c r="AU382" s="1">
        <f t="shared" si="46"/>
        <v>0</v>
      </c>
      <c r="AV382" s="1">
        <f t="shared" si="47"/>
        <v>0</v>
      </c>
      <c r="AW382" s="1">
        <f t="shared" si="48"/>
        <v>0</v>
      </c>
      <c r="AX382" s="1">
        <f t="shared" si="49"/>
        <v>0</v>
      </c>
    </row>
    <row r="383" spans="1:50" s="1" customFormat="1" ht="24.95" customHeight="1" outlineLevel="3" x14ac:dyDescent="0.2">
      <c r="A383" s="11"/>
      <c r="B383" s="12">
        <v>590</v>
      </c>
      <c r="C383" s="12">
        <v>840</v>
      </c>
      <c r="D383" s="12">
        <v>11617</v>
      </c>
      <c r="E383" s="13" t="s">
        <v>526</v>
      </c>
      <c r="F383" s="13" t="s">
        <v>527</v>
      </c>
      <c r="G383" s="13" t="s">
        <v>56</v>
      </c>
      <c r="H383" s="13" t="s">
        <v>40</v>
      </c>
      <c r="I383" s="12">
        <v>2025</v>
      </c>
      <c r="J383" s="13" t="s">
        <v>528</v>
      </c>
      <c r="K383" s="12">
        <v>9785961427103</v>
      </c>
      <c r="L383" s="13" t="s">
        <v>529</v>
      </c>
      <c r="M383" s="12">
        <v>270</v>
      </c>
      <c r="N383" s="14">
        <v>0.4</v>
      </c>
      <c r="O383" s="12">
        <v>150</v>
      </c>
      <c r="P383" s="12">
        <v>220</v>
      </c>
      <c r="Q383" s="12">
        <v>16</v>
      </c>
      <c r="R383" s="13" t="s">
        <v>43</v>
      </c>
      <c r="S383" s="13"/>
      <c r="T383" s="15">
        <v>2000</v>
      </c>
      <c r="U383" s="13" t="s">
        <v>52</v>
      </c>
      <c r="V383" s="13" t="s">
        <v>64</v>
      </c>
      <c r="W383" s="12">
        <v>10</v>
      </c>
      <c r="X383" s="33" t="str">
        <f>HYPERLINK("https://www.alpinabook.ru/catalog/book-lyubov-k-nesovershenstvu","ссылка на книгу")</f>
        <v>ссылка на книгу</v>
      </c>
      <c r="Y383" s="34" t="str">
        <f>HYPERLINK("https://api-enni.alpina.ru/FilePrivilegesApproval/152","https://api-enni.alpina.ru/FilePrivilegesApproval/152")</f>
        <v>https://api-enni.alpina.ru/FilePrivilegesApproval/152</v>
      </c>
      <c r="Z383" s="13" t="s">
        <v>77</v>
      </c>
      <c r="AT383" s="1">
        <f t="shared" si="45"/>
        <v>0</v>
      </c>
      <c r="AU383" s="1">
        <f t="shared" si="46"/>
        <v>0</v>
      </c>
      <c r="AV383" s="1">
        <f t="shared" si="47"/>
        <v>0</v>
      </c>
      <c r="AW383" s="1">
        <f t="shared" si="48"/>
        <v>0</v>
      </c>
      <c r="AX383" s="1">
        <f t="shared" si="49"/>
        <v>0</v>
      </c>
    </row>
    <row r="384" spans="1:50" s="1" customFormat="1" ht="24.95" customHeight="1" outlineLevel="3" x14ac:dyDescent="0.2">
      <c r="A384" s="11"/>
      <c r="B384" s="12">
        <v>540</v>
      </c>
      <c r="C384" s="12">
        <v>790</v>
      </c>
      <c r="D384" s="12">
        <v>4904</v>
      </c>
      <c r="E384" s="13" t="s">
        <v>1270</v>
      </c>
      <c r="F384" s="13" t="s">
        <v>1271</v>
      </c>
      <c r="G384" s="13" t="s">
        <v>97</v>
      </c>
      <c r="H384" s="13" t="s">
        <v>40</v>
      </c>
      <c r="I384" s="12">
        <v>2024</v>
      </c>
      <c r="J384" s="13" t="s">
        <v>1272</v>
      </c>
      <c r="K384" s="12">
        <v>9785907394520</v>
      </c>
      <c r="L384" s="13" t="s">
        <v>1273</v>
      </c>
      <c r="M384" s="12">
        <v>228</v>
      </c>
      <c r="N384" s="14">
        <v>0.39</v>
      </c>
      <c r="O384" s="12">
        <v>153</v>
      </c>
      <c r="P384" s="12">
        <v>216</v>
      </c>
      <c r="Q384" s="12">
        <v>8</v>
      </c>
      <c r="R384" s="13" t="s">
        <v>43</v>
      </c>
      <c r="S384" s="13"/>
      <c r="T384" s="15">
        <v>1000</v>
      </c>
      <c r="U384" s="13" t="s">
        <v>52</v>
      </c>
      <c r="V384" s="13" t="s">
        <v>64</v>
      </c>
      <c r="W384" s="12">
        <v>10</v>
      </c>
      <c r="X384" s="33" t="str">
        <f>HYPERLINK("https://www.alpinabook.ru/catalog/book-maykl-dzhordan","ссылка на книгу")</f>
        <v>ссылка на книгу</v>
      </c>
      <c r="Y384" s="34" t="str">
        <f>HYPERLINK("https://api-enni.alpina.ru/FilePrivilegesApproval/154","https://api-enni.alpina.ru/FilePrivilegesApproval/154")</f>
        <v>https://api-enni.alpina.ru/FilePrivilegesApproval/154</v>
      </c>
      <c r="Z384" s="13" t="s">
        <v>343</v>
      </c>
      <c r="AT384" s="1">
        <f t="shared" si="45"/>
        <v>0</v>
      </c>
      <c r="AU384" s="1">
        <f t="shared" si="46"/>
        <v>0</v>
      </c>
      <c r="AV384" s="1">
        <f t="shared" si="47"/>
        <v>0</v>
      </c>
      <c r="AW384" s="1">
        <f t="shared" si="48"/>
        <v>0</v>
      </c>
      <c r="AX384" s="1">
        <f t="shared" si="49"/>
        <v>0</v>
      </c>
    </row>
    <row r="385" spans="1:50" s="1" customFormat="1" ht="24.95" customHeight="1" outlineLevel="3" x14ac:dyDescent="0.2">
      <c r="A385" s="11"/>
      <c r="B385" s="12">
        <v>490</v>
      </c>
      <c r="C385" s="12">
        <v>690</v>
      </c>
      <c r="D385" s="12">
        <v>27932</v>
      </c>
      <c r="E385" s="13" t="s">
        <v>1145</v>
      </c>
      <c r="F385" s="13" t="s">
        <v>1274</v>
      </c>
      <c r="G385" s="13" t="s">
        <v>56</v>
      </c>
      <c r="H385" s="13" t="s">
        <v>40</v>
      </c>
      <c r="I385" s="12">
        <v>2025</v>
      </c>
      <c r="J385" s="13" t="s">
        <v>1275</v>
      </c>
      <c r="K385" s="12">
        <v>9785961486865</v>
      </c>
      <c r="L385" s="13" t="s">
        <v>1276</v>
      </c>
      <c r="M385" s="12">
        <v>216</v>
      </c>
      <c r="N385" s="14">
        <v>0.22</v>
      </c>
      <c r="O385" s="12">
        <v>140</v>
      </c>
      <c r="P385" s="12">
        <v>210</v>
      </c>
      <c r="Q385" s="12">
        <v>10</v>
      </c>
      <c r="R385" s="13" t="s">
        <v>43</v>
      </c>
      <c r="S385" s="13" t="s">
        <v>1149</v>
      </c>
      <c r="T385" s="15">
        <v>1000</v>
      </c>
      <c r="U385" s="13" t="s">
        <v>44</v>
      </c>
      <c r="V385" s="13" t="s">
        <v>64</v>
      </c>
      <c r="W385" s="12">
        <v>10</v>
      </c>
      <c r="X385" s="33" t="str">
        <f>HYPERLINK("https://www.alpinabook.ru/catalog/book-masterstvo-zhizni","ссылка на книгу")</f>
        <v>ссылка на книгу</v>
      </c>
      <c r="Y385" s="34" t="str">
        <f>HYPERLINK("https://api-enni.alpina.ru/FilePrivilegesApproval/80","https://api-enni.alpina.ru/FilePrivilegesApproval/80")</f>
        <v>https://api-enni.alpina.ru/FilePrivilegesApproval/80</v>
      </c>
      <c r="Z385" s="13" t="s">
        <v>847</v>
      </c>
      <c r="AT385" s="1">
        <f t="shared" si="45"/>
        <v>0</v>
      </c>
      <c r="AU385" s="1">
        <f t="shared" si="46"/>
        <v>0</v>
      </c>
      <c r="AV385" s="1">
        <f t="shared" si="47"/>
        <v>0</v>
      </c>
      <c r="AW385" s="1">
        <f t="shared" si="48"/>
        <v>0</v>
      </c>
      <c r="AX385" s="1">
        <f t="shared" si="49"/>
        <v>0</v>
      </c>
    </row>
    <row r="386" spans="1:50" s="1" customFormat="1" ht="24.95" customHeight="1" outlineLevel="3" x14ac:dyDescent="0.2">
      <c r="A386" s="11"/>
      <c r="B386" s="12">
        <v>290</v>
      </c>
      <c r="C386" s="12">
        <v>440</v>
      </c>
      <c r="D386" s="12">
        <v>28085</v>
      </c>
      <c r="E386" s="13" t="s">
        <v>1277</v>
      </c>
      <c r="F386" s="13" t="s">
        <v>1278</v>
      </c>
      <c r="G386" s="13" t="s">
        <v>56</v>
      </c>
      <c r="H386" s="13" t="s">
        <v>40</v>
      </c>
      <c r="I386" s="12">
        <v>2025</v>
      </c>
      <c r="J386" s="13" t="s">
        <v>1279</v>
      </c>
      <c r="K386" s="12">
        <v>9785961487244</v>
      </c>
      <c r="L386" s="13" t="s">
        <v>1280</v>
      </c>
      <c r="M386" s="12">
        <v>203</v>
      </c>
      <c r="N386" s="14">
        <v>0.14000000000000001</v>
      </c>
      <c r="O386" s="12">
        <v>120</v>
      </c>
      <c r="P386" s="12">
        <v>170</v>
      </c>
      <c r="Q386" s="12">
        <v>28</v>
      </c>
      <c r="R386" s="13" t="s">
        <v>75</v>
      </c>
      <c r="S386" s="13" t="s">
        <v>76</v>
      </c>
      <c r="T386" s="15">
        <v>2000</v>
      </c>
      <c r="U386" s="13" t="s">
        <v>44</v>
      </c>
      <c r="V386" s="13" t="s">
        <v>64</v>
      </c>
      <c r="W386" s="12">
        <v>10</v>
      </c>
      <c r="X386" s="33" t="str">
        <f>HYPERLINK("https://www.alpinabook.ru/catalog/book-mentalnye-lovushki","ссылка на книгу")</f>
        <v>ссылка на книгу</v>
      </c>
      <c r="Y386" s="34" t="str">
        <f>HYPERLINK("https://api-enni.alpina.ru/FilePrivilegesApproval/231","https://api-enni.alpina.ru/FilePrivilegesApproval/231")</f>
        <v>https://api-enni.alpina.ru/FilePrivilegesApproval/231</v>
      </c>
      <c r="Z386" s="13"/>
      <c r="AT386" s="1">
        <f t="shared" si="45"/>
        <v>0</v>
      </c>
      <c r="AU386" s="1">
        <f t="shared" si="46"/>
        <v>0</v>
      </c>
      <c r="AV386" s="1">
        <f t="shared" si="47"/>
        <v>0</v>
      </c>
      <c r="AW386" s="1">
        <f t="shared" si="48"/>
        <v>0</v>
      </c>
      <c r="AX386" s="1">
        <f t="shared" si="49"/>
        <v>0</v>
      </c>
    </row>
    <row r="387" spans="1:50" s="1" customFormat="1" ht="24.95" customHeight="1" outlineLevel="3" x14ac:dyDescent="0.2">
      <c r="A387" s="11"/>
      <c r="B387" s="12">
        <v>340</v>
      </c>
      <c r="C387" s="12">
        <v>540</v>
      </c>
      <c r="D387" s="12">
        <v>30890</v>
      </c>
      <c r="E387" s="13" t="s">
        <v>1281</v>
      </c>
      <c r="F387" s="13" t="s">
        <v>1282</v>
      </c>
      <c r="G387" s="13" t="s">
        <v>56</v>
      </c>
      <c r="H387" s="13"/>
      <c r="I387" s="12">
        <v>2024</v>
      </c>
      <c r="J387" s="13" t="s">
        <v>1283</v>
      </c>
      <c r="K387" s="12">
        <v>9785961496871</v>
      </c>
      <c r="L387" s="13" t="s">
        <v>1284</v>
      </c>
      <c r="M387" s="12">
        <v>186</v>
      </c>
      <c r="N387" s="14">
        <v>0.15</v>
      </c>
      <c r="O387" s="12">
        <v>120</v>
      </c>
      <c r="P387" s="12">
        <v>170</v>
      </c>
      <c r="Q387" s="12">
        <v>20</v>
      </c>
      <c r="R387" s="13" t="s">
        <v>75</v>
      </c>
      <c r="S387" s="13"/>
      <c r="T387" s="15">
        <v>2000</v>
      </c>
      <c r="U387" s="13" t="s">
        <v>44</v>
      </c>
      <c r="V387" s="13" t="s">
        <v>45</v>
      </c>
      <c r="W387" s="12">
        <v>10</v>
      </c>
      <c r="X387" s="33" t="str">
        <f>HYPERLINK("https://www.alpinabook.ru/catalog/book-mentalnye-privychki-myslyashchego-cheloveka","ссылка на книгу")</f>
        <v>ссылка на книгу</v>
      </c>
      <c r="Y387" s="34" t="str">
        <f>HYPERLINK("https://api-enni.alpina.ru/FilePrivilegesApproval/489","https://api-enni.alpina.ru/FilePrivilegesApproval/489")</f>
        <v>https://api-enni.alpina.ru/FilePrivilegesApproval/489</v>
      </c>
      <c r="Z387" s="13"/>
      <c r="AT387" s="1">
        <f t="shared" si="45"/>
        <v>0</v>
      </c>
      <c r="AU387" s="1">
        <f t="shared" si="46"/>
        <v>0</v>
      </c>
      <c r="AV387" s="1">
        <f t="shared" si="47"/>
        <v>0</v>
      </c>
      <c r="AW387" s="1">
        <f t="shared" si="48"/>
        <v>0</v>
      </c>
      <c r="AX387" s="1">
        <f t="shared" si="49"/>
        <v>0</v>
      </c>
    </row>
    <row r="388" spans="1:50" s="1" customFormat="1" ht="24.95" customHeight="1" outlineLevel="3" x14ac:dyDescent="0.2">
      <c r="A388" s="11"/>
      <c r="B388" s="12">
        <v>690</v>
      </c>
      <c r="C388" s="12">
        <v>990</v>
      </c>
      <c r="D388" s="12">
        <v>26995</v>
      </c>
      <c r="E388" s="13" t="s">
        <v>1285</v>
      </c>
      <c r="F388" s="13" t="s">
        <v>1286</v>
      </c>
      <c r="G388" s="13" t="s">
        <v>97</v>
      </c>
      <c r="H388" s="13"/>
      <c r="I388" s="12">
        <v>2024</v>
      </c>
      <c r="J388" s="13" t="s">
        <v>1287</v>
      </c>
      <c r="K388" s="12">
        <v>9785206001198</v>
      </c>
      <c r="L388" s="13" t="s">
        <v>1288</v>
      </c>
      <c r="M388" s="12">
        <v>264</v>
      </c>
      <c r="N388" s="14">
        <v>0.42</v>
      </c>
      <c r="O388" s="12">
        <v>150</v>
      </c>
      <c r="P388" s="12">
        <v>220</v>
      </c>
      <c r="Q388" s="12">
        <v>5</v>
      </c>
      <c r="R388" s="13" t="s">
        <v>43</v>
      </c>
      <c r="S388" s="13"/>
      <c r="T388" s="15">
        <v>1000</v>
      </c>
      <c r="U388" s="13" t="s">
        <v>52</v>
      </c>
      <c r="V388" s="13" t="s">
        <v>59</v>
      </c>
      <c r="W388" s="12">
        <v>10</v>
      </c>
      <c r="X388" s="33" t="str">
        <f>HYPERLINK("https://www.alpinabook.ru/catalog/book-menshe-slov","ссылка на книгу")</f>
        <v>ссылка на книгу</v>
      </c>
      <c r="Y388" s="34" t="str">
        <f>HYPERLINK("https://api-enni.alpina.ru/FilePrivilegesApproval/414","https://api-enni.alpina.ru/FilePrivilegesApproval/414")</f>
        <v>https://api-enni.alpina.ru/FilePrivilegesApproval/414</v>
      </c>
      <c r="Z388" s="13"/>
      <c r="AT388" s="1">
        <f t="shared" si="45"/>
        <v>0</v>
      </c>
      <c r="AU388" s="1">
        <f t="shared" si="46"/>
        <v>0</v>
      </c>
      <c r="AV388" s="1">
        <f t="shared" si="47"/>
        <v>0</v>
      </c>
      <c r="AW388" s="1">
        <f t="shared" si="48"/>
        <v>0</v>
      </c>
      <c r="AX388" s="1">
        <f t="shared" si="49"/>
        <v>0</v>
      </c>
    </row>
    <row r="389" spans="1:50" s="1" customFormat="1" ht="24.95" customHeight="1" outlineLevel="3" x14ac:dyDescent="0.2">
      <c r="A389" s="11"/>
      <c r="B389" s="12">
        <v>590</v>
      </c>
      <c r="C389" s="12">
        <v>840</v>
      </c>
      <c r="D389" s="12">
        <v>31227</v>
      </c>
      <c r="E389" s="13" t="s">
        <v>1289</v>
      </c>
      <c r="F389" s="13" t="s">
        <v>1290</v>
      </c>
      <c r="G389" s="13" t="s">
        <v>56</v>
      </c>
      <c r="H389" s="13"/>
      <c r="I389" s="12">
        <v>2025</v>
      </c>
      <c r="J389" s="13" t="s">
        <v>1291</v>
      </c>
      <c r="K389" s="12">
        <v>9785961497915</v>
      </c>
      <c r="L389" s="13" t="s">
        <v>1292</v>
      </c>
      <c r="M389" s="12">
        <v>208</v>
      </c>
      <c r="N389" s="14">
        <v>0.43</v>
      </c>
      <c r="O389" s="12">
        <v>150</v>
      </c>
      <c r="P389" s="12">
        <v>220</v>
      </c>
      <c r="Q389" s="12">
        <v>14</v>
      </c>
      <c r="R389" s="13" t="s">
        <v>43</v>
      </c>
      <c r="S389" s="13"/>
      <c r="T389" s="15">
        <v>1500</v>
      </c>
      <c r="U389" s="13" t="s">
        <v>52</v>
      </c>
      <c r="V389" s="13" t="s">
        <v>45</v>
      </c>
      <c r="W389" s="12">
        <v>10</v>
      </c>
      <c r="X389" s="33" t="str">
        <f>HYPERLINK("https://www.alpinabook.ru/catalog/book-menya-vsye-besit","ссылка на книгу")</f>
        <v>ссылка на книгу</v>
      </c>
      <c r="Y389" s="34" t="str">
        <f>HYPERLINK("https://api-enni.alpina.ru/FilePrivilegesApproval/758","https://api-enni.alpina.ru/FilePrivilegesApproval/758")</f>
        <v>https://api-enni.alpina.ru/FilePrivilegesApproval/758</v>
      </c>
      <c r="Z389" s="13" t="s">
        <v>70</v>
      </c>
      <c r="AT389" s="1">
        <f t="shared" si="45"/>
        <v>0</v>
      </c>
      <c r="AU389" s="1">
        <f t="shared" si="46"/>
        <v>0</v>
      </c>
      <c r="AV389" s="1">
        <f t="shared" si="47"/>
        <v>0</v>
      </c>
      <c r="AW389" s="1">
        <f t="shared" si="48"/>
        <v>0</v>
      </c>
      <c r="AX389" s="1">
        <f t="shared" si="49"/>
        <v>0</v>
      </c>
    </row>
    <row r="390" spans="1:50" s="1" customFormat="1" ht="24.95" customHeight="1" outlineLevel="3" x14ac:dyDescent="0.2">
      <c r="A390" s="11"/>
      <c r="B390" s="12">
        <v>490</v>
      </c>
      <c r="C390" s="12">
        <v>490</v>
      </c>
      <c r="D390" s="12">
        <v>8177</v>
      </c>
      <c r="E390" s="13" t="s">
        <v>1293</v>
      </c>
      <c r="F390" s="13" t="s">
        <v>1294</v>
      </c>
      <c r="G390" s="13" t="s">
        <v>56</v>
      </c>
      <c r="H390" s="13" t="s">
        <v>40</v>
      </c>
      <c r="I390" s="12">
        <v>2019</v>
      </c>
      <c r="J390" s="13" t="s">
        <v>1295</v>
      </c>
      <c r="K390" s="12">
        <v>9785961466102</v>
      </c>
      <c r="L390" s="13" t="s">
        <v>1296</v>
      </c>
      <c r="M390" s="12">
        <v>283</v>
      </c>
      <c r="N390" s="14">
        <v>0.3</v>
      </c>
      <c r="O390" s="12">
        <v>141</v>
      </c>
      <c r="P390" s="12">
        <v>210</v>
      </c>
      <c r="Q390" s="12">
        <v>14</v>
      </c>
      <c r="R390" s="13" t="s">
        <v>43</v>
      </c>
      <c r="S390" s="13"/>
      <c r="T390" s="15">
        <v>1500</v>
      </c>
      <c r="U390" s="13" t="s">
        <v>44</v>
      </c>
      <c r="V390" s="13" t="s">
        <v>45</v>
      </c>
      <c r="W390" s="12">
        <v>10</v>
      </c>
      <c r="X390" s="33" t="str">
        <f>HYPERLINK("https://www.alpinabook.ru/catalog/book-417194","ссылка на книгу")</f>
        <v>ссылка на книгу</v>
      </c>
      <c r="Y390" s="34" t="str">
        <f>HYPERLINK("https://api-enni.alpina.ru/FilePrivilegesApproval/240","https://api-enni.alpina.ru/FilePrivilegesApproval/240")</f>
        <v>https://api-enni.alpina.ru/FilePrivilegesApproval/240</v>
      </c>
      <c r="Z390" s="13"/>
      <c r="AT390" s="1">
        <f t="shared" si="45"/>
        <v>0</v>
      </c>
      <c r="AU390" s="1">
        <f t="shared" si="46"/>
        <v>0</v>
      </c>
      <c r="AV390" s="1">
        <f t="shared" si="47"/>
        <v>0</v>
      </c>
      <c r="AW390" s="1">
        <f t="shared" si="48"/>
        <v>0</v>
      </c>
      <c r="AX390" s="1">
        <f t="shared" si="49"/>
        <v>0</v>
      </c>
    </row>
    <row r="391" spans="1:50" s="1" customFormat="1" ht="24.95" customHeight="1" outlineLevel="3" x14ac:dyDescent="0.2">
      <c r="A391" s="11"/>
      <c r="B391" s="12">
        <v>990</v>
      </c>
      <c r="C391" s="15">
        <v>1490</v>
      </c>
      <c r="D391" s="12">
        <v>26127</v>
      </c>
      <c r="E391" s="13" t="s">
        <v>563</v>
      </c>
      <c r="F391" s="13" t="s">
        <v>564</v>
      </c>
      <c r="G391" s="13" t="s">
        <v>97</v>
      </c>
      <c r="H391" s="13"/>
      <c r="I391" s="12">
        <v>2024</v>
      </c>
      <c r="J391" s="13" t="s">
        <v>565</v>
      </c>
      <c r="K391" s="12">
        <v>9785206000603</v>
      </c>
      <c r="L391" s="13" t="s">
        <v>566</v>
      </c>
      <c r="M391" s="12">
        <v>384</v>
      </c>
      <c r="N391" s="14">
        <v>0.55000000000000004</v>
      </c>
      <c r="O391" s="12">
        <v>150</v>
      </c>
      <c r="P391" s="12">
        <v>220</v>
      </c>
      <c r="Q391" s="12">
        <v>5</v>
      </c>
      <c r="R391" s="13" t="s">
        <v>43</v>
      </c>
      <c r="S391" s="13"/>
      <c r="T391" s="15">
        <v>5000</v>
      </c>
      <c r="U391" s="13" t="s">
        <v>52</v>
      </c>
      <c r="V391" s="13" t="s">
        <v>59</v>
      </c>
      <c r="W391" s="12">
        <v>10</v>
      </c>
      <c r="X391" s="33" t="str">
        <f>HYPERLINK("https://www.alpinabook.ru/catalog/book-missiya-vypolnima","ссылка на книгу")</f>
        <v>ссылка на книгу</v>
      </c>
      <c r="Y391" s="34" t="str">
        <f>HYPERLINK("https://api-enni.alpina.ru/FilePrivilegesApproval/168","https://api-enni.alpina.ru/FilePrivilegesApproval/168")</f>
        <v>https://api-enni.alpina.ru/FilePrivilegesApproval/168</v>
      </c>
      <c r="Z391" s="13" t="s">
        <v>567</v>
      </c>
      <c r="AT391" s="1">
        <f t="shared" si="45"/>
        <v>0</v>
      </c>
      <c r="AU391" s="1">
        <f t="shared" si="46"/>
        <v>0</v>
      </c>
      <c r="AV391" s="1">
        <f t="shared" si="47"/>
        <v>0</v>
      </c>
      <c r="AW391" s="1">
        <f t="shared" si="48"/>
        <v>0</v>
      </c>
      <c r="AX391" s="1">
        <f t="shared" si="49"/>
        <v>0</v>
      </c>
    </row>
    <row r="392" spans="1:50" s="1" customFormat="1" ht="24.95" customHeight="1" outlineLevel="3" x14ac:dyDescent="0.2">
      <c r="A392" s="11"/>
      <c r="B392" s="12">
        <v>340</v>
      </c>
      <c r="C392" s="12">
        <v>540</v>
      </c>
      <c r="D392" s="12">
        <v>29856</v>
      </c>
      <c r="E392" s="13" t="s">
        <v>1297</v>
      </c>
      <c r="F392" s="13" t="s">
        <v>1298</v>
      </c>
      <c r="G392" s="13" t="s">
        <v>56</v>
      </c>
      <c r="H392" s="13" t="s">
        <v>40</v>
      </c>
      <c r="I392" s="12">
        <v>2024</v>
      </c>
      <c r="J392" s="13" t="s">
        <v>1299</v>
      </c>
      <c r="K392" s="12">
        <v>9785961494242</v>
      </c>
      <c r="L392" s="13" t="s">
        <v>1300</v>
      </c>
      <c r="M392" s="12">
        <v>528</v>
      </c>
      <c r="N392" s="14">
        <v>0.35</v>
      </c>
      <c r="O392" s="12">
        <v>120</v>
      </c>
      <c r="P392" s="12">
        <v>170</v>
      </c>
      <c r="Q392" s="12">
        <v>12</v>
      </c>
      <c r="R392" s="13" t="s">
        <v>75</v>
      </c>
      <c r="S392" s="13" t="s">
        <v>253</v>
      </c>
      <c r="T392" s="15">
        <v>2000</v>
      </c>
      <c r="U392" s="13" t="s">
        <v>44</v>
      </c>
      <c r="V392" s="13" t="s">
        <v>64</v>
      </c>
      <c r="W392" s="12">
        <v>10</v>
      </c>
      <c r="X392" s="33" t="str">
        <f>HYPERLINK("https://www.alpinabook.ru/catalog/book-mozgouskoriteli","ссылка на книгу")</f>
        <v>ссылка на книгу</v>
      </c>
      <c r="Y392" s="34" t="str">
        <f>HYPERLINK("https://api-enni.alpina.ru/FilePrivilegesApproval/141","https://api-enni.alpina.ru/FilePrivilegesApproval/141")</f>
        <v>https://api-enni.alpina.ru/FilePrivilegesApproval/141</v>
      </c>
      <c r="Z392" s="13"/>
      <c r="AT392" s="1">
        <f t="shared" si="45"/>
        <v>0</v>
      </c>
      <c r="AU392" s="1">
        <f t="shared" si="46"/>
        <v>0</v>
      </c>
      <c r="AV392" s="1">
        <f t="shared" si="47"/>
        <v>0</v>
      </c>
      <c r="AW392" s="1">
        <f t="shared" si="48"/>
        <v>0</v>
      </c>
      <c r="AX392" s="1">
        <f t="shared" si="49"/>
        <v>0</v>
      </c>
    </row>
    <row r="393" spans="1:50" s="1" customFormat="1" ht="24.95" customHeight="1" outlineLevel="3" x14ac:dyDescent="0.2">
      <c r="A393" s="11"/>
      <c r="B393" s="12">
        <v>690</v>
      </c>
      <c r="C393" s="12">
        <v>990</v>
      </c>
      <c r="D393" s="12">
        <v>5869</v>
      </c>
      <c r="E393" s="13" t="s">
        <v>1301</v>
      </c>
      <c r="F393" s="13" t="s">
        <v>1302</v>
      </c>
      <c r="G393" s="13" t="s">
        <v>56</v>
      </c>
      <c r="H393" s="13" t="s">
        <v>40</v>
      </c>
      <c r="I393" s="12">
        <v>2025</v>
      </c>
      <c r="J393" s="13" t="s">
        <v>1303</v>
      </c>
      <c r="K393" s="12">
        <v>9785961460599</v>
      </c>
      <c r="L393" s="13" t="s">
        <v>1304</v>
      </c>
      <c r="M393" s="12">
        <v>304</v>
      </c>
      <c r="N393" s="14">
        <v>0.54</v>
      </c>
      <c r="O393" s="12">
        <v>163</v>
      </c>
      <c r="P393" s="12">
        <v>235</v>
      </c>
      <c r="Q393" s="12">
        <v>8</v>
      </c>
      <c r="R393" s="13" t="s">
        <v>94</v>
      </c>
      <c r="S393" s="13"/>
      <c r="T393" s="15">
        <v>2000</v>
      </c>
      <c r="U393" s="13" t="s">
        <v>44</v>
      </c>
      <c r="V393" s="13" t="s">
        <v>64</v>
      </c>
      <c r="W393" s="12">
        <v>10</v>
      </c>
      <c r="X393" s="33" t="str">
        <f>HYPERLINK("https://www.alpinabook.ru/catalog/book-moy-produktivnyy-god","ссылка на книгу")</f>
        <v>ссылка на книгу</v>
      </c>
      <c r="Y393" s="34" t="str">
        <f>HYPERLINK("https://api-enni.alpina.ru/FilePrivilegesApproval/2","https://api-enni.alpina.ru/FilePrivilegesApproval/2")</f>
        <v>https://api-enni.alpina.ru/FilePrivilegesApproval/2</v>
      </c>
      <c r="Z393" s="13"/>
      <c r="AT393" s="1">
        <f t="shared" si="45"/>
        <v>0</v>
      </c>
      <c r="AU393" s="1">
        <f t="shared" si="46"/>
        <v>0</v>
      </c>
      <c r="AV393" s="1">
        <f t="shared" si="47"/>
        <v>0</v>
      </c>
      <c r="AW393" s="1">
        <f t="shared" si="48"/>
        <v>0</v>
      </c>
      <c r="AX393" s="1">
        <f t="shared" si="49"/>
        <v>0</v>
      </c>
    </row>
    <row r="394" spans="1:50" s="1" customFormat="1" ht="24.95" customHeight="1" outlineLevel="3" x14ac:dyDescent="0.2">
      <c r="A394" s="11"/>
      <c r="B394" s="12">
        <v>640</v>
      </c>
      <c r="C394" s="12">
        <v>940</v>
      </c>
      <c r="D394" s="12">
        <v>30523</v>
      </c>
      <c r="E394" s="13" t="s">
        <v>1305</v>
      </c>
      <c r="F394" s="13" t="s">
        <v>1306</v>
      </c>
      <c r="G394" s="13" t="s">
        <v>56</v>
      </c>
      <c r="H394" s="13" t="s">
        <v>200</v>
      </c>
      <c r="I394" s="12">
        <v>2025</v>
      </c>
      <c r="J394" s="13" t="s">
        <v>1307</v>
      </c>
      <c r="K394" s="12">
        <v>9785961495720</v>
      </c>
      <c r="L394" s="13" t="s">
        <v>1308</v>
      </c>
      <c r="M394" s="12">
        <v>408</v>
      </c>
      <c r="N394" s="14">
        <v>0.48</v>
      </c>
      <c r="O394" s="12">
        <v>140</v>
      </c>
      <c r="P394" s="12">
        <v>210</v>
      </c>
      <c r="Q394" s="12">
        <v>8</v>
      </c>
      <c r="R394" s="13" t="s">
        <v>43</v>
      </c>
      <c r="S394" s="13"/>
      <c r="T394" s="15">
        <v>2000</v>
      </c>
      <c r="U394" s="13" t="s">
        <v>44</v>
      </c>
      <c r="V394" s="13" t="s">
        <v>45</v>
      </c>
      <c r="W394" s="12">
        <v>10</v>
      </c>
      <c r="X394" s="33" t="str">
        <f>HYPERLINK("https://www.alpinabook.ru/catalog/book-moy-spokoynyy-god","ссылка на книгу")</f>
        <v>ссылка на книгу</v>
      </c>
      <c r="Y394" s="34" t="str">
        <f>HYPERLINK("https://api-enni.alpina.ru/FilePrivilegesApproval/755","https://api-enni.alpina.ru/FilePrivilegesApproval/755")</f>
        <v>https://api-enni.alpina.ru/FilePrivilegesApproval/755</v>
      </c>
      <c r="Z394" s="13"/>
      <c r="AT394" s="1">
        <f t="shared" si="45"/>
        <v>0</v>
      </c>
      <c r="AU394" s="1">
        <f t="shared" si="46"/>
        <v>0</v>
      </c>
      <c r="AV394" s="1">
        <f t="shared" si="47"/>
        <v>0</v>
      </c>
      <c r="AW394" s="1">
        <f t="shared" si="48"/>
        <v>0</v>
      </c>
      <c r="AX394" s="1">
        <f t="shared" si="49"/>
        <v>0</v>
      </c>
    </row>
    <row r="395" spans="1:50" s="1" customFormat="1" ht="24.95" customHeight="1" outlineLevel="3" x14ac:dyDescent="0.2">
      <c r="A395" s="11"/>
      <c r="B395" s="12">
        <v>590</v>
      </c>
      <c r="C395" s="12">
        <v>840</v>
      </c>
      <c r="D395" s="12">
        <v>30522</v>
      </c>
      <c r="E395" s="13" t="s">
        <v>1305</v>
      </c>
      <c r="F395" s="13" t="s">
        <v>1309</v>
      </c>
      <c r="G395" s="13" t="s">
        <v>56</v>
      </c>
      <c r="H395" s="13" t="s">
        <v>200</v>
      </c>
      <c r="I395" s="12">
        <v>2025</v>
      </c>
      <c r="J395" s="13" t="s">
        <v>1310</v>
      </c>
      <c r="K395" s="12">
        <v>9785961495713</v>
      </c>
      <c r="L395" s="13" t="s">
        <v>1311</v>
      </c>
      <c r="M395" s="12">
        <v>262</v>
      </c>
      <c r="N395" s="14">
        <v>0.41</v>
      </c>
      <c r="O395" s="12">
        <v>140</v>
      </c>
      <c r="P395" s="12">
        <v>210</v>
      </c>
      <c r="Q395" s="12">
        <v>10</v>
      </c>
      <c r="R395" s="13" t="s">
        <v>43</v>
      </c>
      <c r="S395" s="13"/>
      <c r="T395" s="15">
        <v>1500</v>
      </c>
      <c r="U395" s="13" t="s">
        <v>44</v>
      </c>
      <c r="V395" s="13" t="s">
        <v>59</v>
      </c>
      <c r="W395" s="12">
        <v>10</v>
      </c>
      <c r="X395" s="33" t="str">
        <f>HYPERLINK("https://www.alpinabook.ru/catalog/book-moya-vnutrennyaya-sila","ссылка на книгу")</f>
        <v>ссылка на книгу</v>
      </c>
      <c r="Y395" s="34" t="str">
        <f>HYPERLINK("https://api-enni.alpina.ru/FilePrivilegesApproval/809","https://api-enni.alpina.ru/FilePrivilegesApproval/809")</f>
        <v>https://api-enni.alpina.ru/FilePrivilegesApproval/809</v>
      </c>
      <c r="Z395" s="13" t="s">
        <v>1312</v>
      </c>
      <c r="AT395" s="1">
        <f t="shared" si="45"/>
        <v>0</v>
      </c>
      <c r="AU395" s="1">
        <f t="shared" si="46"/>
        <v>0</v>
      </c>
      <c r="AV395" s="1">
        <f t="shared" si="47"/>
        <v>0</v>
      </c>
      <c r="AW395" s="1">
        <f t="shared" si="48"/>
        <v>0</v>
      </c>
      <c r="AX395" s="1">
        <f t="shared" si="49"/>
        <v>0</v>
      </c>
    </row>
    <row r="396" spans="1:50" s="1" customFormat="1" ht="24.95" customHeight="1" outlineLevel="3" x14ac:dyDescent="0.2">
      <c r="A396" s="11"/>
      <c r="B396" s="12">
        <v>340</v>
      </c>
      <c r="C396" s="12">
        <v>540</v>
      </c>
      <c r="D396" s="12">
        <v>30503</v>
      </c>
      <c r="E396" s="13" t="s">
        <v>1313</v>
      </c>
      <c r="F396" s="13" t="s">
        <v>1314</v>
      </c>
      <c r="G396" s="13" t="s">
        <v>56</v>
      </c>
      <c r="H396" s="13"/>
      <c r="I396" s="12">
        <v>2024</v>
      </c>
      <c r="J396" s="13" t="s">
        <v>1315</v>
      </c>
      <c r="K396" s="12">
        <v>9785961495652</v>
      </c>
      <c r="L396" s="13" t="s">
        <v>1316</v>
      </c>
      <c r="M396" s="12">
        <v>316</v>
      </c>
      <c r="N396" s="14">
        <v>0.21</v>
      </c>
      <c r="O396" s="12">
        <v>120</v>
      </c>
      <c r="P396" s="12">
        <v>170</v>
      </c>
      <c r="Q396" s="12">
        <v>16</v>
      </c>
      <c r="R396" s="13" t="s">
        <v>75</v>
      </c>
      <c r="S396" s="13" t="s">
        <v>1317</v>
      </c>
      <c r="T396" s="15">
        <v>2000</v>
      </c>
      <c r="U396" s="13" t="s">
        <v>44</v>
      </c>
      <c r="V396" s="13" t="s">
        <v>89</v>
      </c>
      <c r="W396" s="12">
        <v>10</v>
      </c>
      <c r="X396" s="33" t="str">
        <f>HYPERLINK("https://www.alpinabook.ru/catalog/book-my-zhivem-na-saturne","ссылка на книгу")</f>
        <v>ссылка на книгу</v>
      </c>
      <c r="Y396" s="34" t="str">
        <f>HYPERLINK("https://api-enni.alpina.ru/FilePrivilegesApproval/158","https://api-enni.alpina.ru/FilePrivilegesApproval/158")</f>
        <v>https://api-enni.alpina.ru/FilePrivilegesApproval/158</v>
      </c>
      <c r="Z396" s="13"/>
      <c r="AT396" s="1">
        <f t="shared" si="45"/>
        <v>0</v>
      </c>
      <c r="AU396" s="1">
        <f t="shared" si="46"/>
        <v>0</v>
      </c>
      <c r="AV396" s="1">
        <f t="shared" si="47"/>
        <v>0</v>
      </c>
      <c r="AW396" s="1">
        <f t="shared" si="48"/>
        <v>0</v>
      </c>
      <c r="AX396" s="1">
        <f t="shared" si="49"/>
        <v>0</v>
      </c>
    </row>
    <row r="397" spans="1:50" s="1" customFormat="1" ht="24.95" customHeight="1" outlineLevel="3" x14ac:dyDescent="0.2">
      <c r="A397" s="11"/>
      <c r="B397" s="12">
        <v>340</v>
      </c>
      <c r="C397" s="12">
        <v>540</v>
      </c>
      <c r="D397" s="12">
        <v>30438</v>
      </c>
      <c r="E397" s="13" t="s">
        <v>1318</v>
      </c>
      <c r="F397" s="13" t="s">
        <v>1319</v>
      </c>
      <c r="G397" s="13" t="s">
        <v>56</v>
      </c>
      <c r="H397" s="13" t="s">
        <v>40</v>
      </c>
      <c r="I397" s="12">
        <v>2024</v>
      </c>
      <c r="J397" s="13" t="s">
        <v>1320</v>
      </c>
      <c r="K397" s="12">
        <v>9785961495515</v>
      </c>
      <c r="L397" s="13" t="s">
        <v>1321</v>
      </c>
      <c r="M397" s="12">
        <v>416</v>
      </c>
      <c r="N397" s="14">
        <v>0.28000000000000003</v>
      </c>
      <c r="O397" s="12">
        <v>120</v>
      </c>
      <c r="P397" s="12">
        <v>170</v>
      </c>
      <c r="Q397" s="12">
        <v>14</v>
      </c>
      <c r="R397" s="13" t="s">
        <v>75</v>
      </c>
      <c r="S397" s="13" t="s">
        <v>253</v>
      </c>
      <c r="T397" s="15">
        <v>2000</v>
      </c>
      <c r="U397" s="13" t="s">
        <v>44</v>
      </c>
      <c r="V397" s="13" t="s">
        <v>64</v>
      </c>
      <c r="W397" s="12">
        <v>10</v>
      </c>
      <c r="X397" s="33" t="str">
        <f>HYPERLINK("https://www.alpinabook.ru/catalog/book-nayti-vykhod","ссылка на книгу")</f>
        <v>ссылка на книгу</v>
      </c>
      <c r="Y397" s="34" t="str">
        <f>HYPERLINK("https://api-enni.alpina.ru/FilePrivilegesApproval/405","https://api-enni.alpina.ru/FilePrivilegesApproval/405")</f>
        <v>https://api-enni.alpina.ru/FilePrivilegesApproval/405</v>
      </c>
      <c r="Z397" s="13"/>
      <c r="AT397" s="1">
        <f t="shared" si="45"/>
        <v>0</v>
      </c>
      <c r="AU397" s="1">
        <f t="shared" si="46"/>
        <v>0</v>
      </c>
      <c r="AV397" s="1">
        <f t="shared" si="47"/>
        <v>0</v>
      </c>
      <c r="AW397" s="1">
        <f t="shared" si="48"/>
        <v>0</v>
      </c>
      <c r="AX397" s="1">
        <f t="shared" si="49"/>
        <v>0</v>
      </c>
    </row>
    <row r="398" spans="1:50" s="1" customFormat="1" ht="24.95" customHeight="1" outlineLevel="3" x14ac:dyDescent="0.2">
      <c r="A398" s="26"/>
      <c r="B398" s="27">
        <v>690</v>
      </c>
      <c r="C398" s="27">
        <v>990</v>
      </c>
      <c r="D398" s="27">
        <v>21108</v>
      </c>
      <c r="E398" s="29" t="s">
        <v>1322</v>
      </c>
      <c r="F398" s="29" t="s">
        <v>1323</v>
      </c>
      <c r="G398" s="29" t="s">
        <v>56</v>
      </c>
      <c r="H398" s="29"/>
      <c r="I398" s="27">
        <v>2025</v>
      </c>
      <c r="J398" s="29" t="s">
        <v>1324</v>
      </c>
      <c r="K398" s="27">
        <v>9785961463125</v>
      </c>
      <c r="L398" s="29" t="s">
        <v>1325</v>
      </c>
      <c r="M398" s="27">
        <v>240</v>
      </c>
      <c r="N398" s="30">
        <v>0.38</v>
      </c>
      <c r="O398" s="27">
        <v>150</v>
      </c>
      <c r="P398" s="27">
        <v>220</v>
      </c>
      <c r="Q398" s="27">
        <v>8</v>
      </c>
      <c r="R398" s="29" t="s">
        <v>43</v>
      </c>
      <c r="S398" s="29"/>
      <c r="T398" s="28">
        <v>1000</v>
      </c>
      <c r="U398" s="29" t="s">
        <v>52</v>
      </c>
      <c r="V398" s="29" t="s">
        <v>64</v>
      </c>
      <c r="W398" s="27">
        <v>10</v>
      </c>
      <c r="X398" s="37" t="str">
        <f>HYPERLINK("https://www.alpinabook.ru/catalog/book-nayti-sebya","ссылка на книгу")</f>
        <v>ссылка на книгу</v>
      </c>
      <c r="Y398" s="38" t="str">
        <f>HYPERLINK("https://api-enni.alpina.ru/FilePrivilegesApproval/141","https://api-enni.alpina.ru/FilePrivilegesApproval/141")</f>
        <v>https://api-enni.alpina.ru/FilePrivilegesApproval/141</v>
      </c>
      <c r="Z398" s="29" t="s">
        <v>954</v>
      </c>
      <c r="AT398" s="1">
        <f t="shared" si="45"/>
        <v>0</v>
      </c>
      <c r="AU398" s="1">
        <f t="shared" si="46"/>
        <v>0</v>
      </c>
      <c r="AV398" s="1">
        <f t="shared" si="47"/>
        <v>0</v>
      </c>
      <c r="AW398" s="1">
        <f t="shared" si="48"/>
        <v>0</v>
      </c>
      <c r="AX398" s="1">
        <f t="shared" si="49"/>
        <v>0</v>
      </c>
    </row>
    <row r="399" spans="1:50" s="1" customFormat="1" ht="24.95" customHeight="1" outlineLevel="3" x14ac:dyDescent="0.2">
      <c r="A399" s="11"/>
      <c r="B399" s="12">
        <v>490</v>
      </c>
      <c r="C399" s="12">
        <v>740</v>
      </c>
      <c r="D399" s="12">
        <v>31676</v>
      </c>
      <c r="E399" s="13" t="s">
        <v>1326</v>
      </c>
      <c r="F399" s="13" t="s">
        <v>1327</v>
      </c>
      <c r="G399" s="13" t="s">
        <v>56</v>
      </c>
      <c r="H399" s="13" t="s">
        <v>40</v>
      </c>
      <c r="I399" s="12">
        <v>2025</v>
      </c>
      <c r="J399" s="13" t="s">
        <v>1328</v>
      </c>
      <c r="K399" s="12">
        <v>9785961499889</v>
      </c>
      <c r="L399" s="13" t="s">
        <v>1329</v>
      </c>
      <c r="M399" s="12">
        <v>252</v>
      </c>
      <c r="N399" s="14">
        <v>0.63</v>
      </c>
      <c r="O399" s="12">
        <v>170</v>
      </c>
      <c r="P399" s="12">
        <v>240</v>
      </c>
      <c r="Q399" s="12">
        <v>7</v>
      </c>
      <c r="R399" s="13" t="s">
        <v>94</v>
      </c>
      <c r="S399" s="13" t="s">
        <v>141</v>
      </c>
      <c r="T399" s="15">
        <v>2000</v>
      </c>
      <c r="U399" s="13" t="s">
        <v>52</v>
      </c>
      <c r="V399" s="13" t="s">
        <v>59</v>
      </c>
      <c r="W399" s="12">
        <v>10</v>
      </c>
      <c r="X399" s="33" t="str">
        <f>HYPERLINK("https://www.alpinabook.ru/catalog/book-ne-kormi-svoyu-trevogu","ссылка на книгу")</f>
        <v>ссылка на книгу</v>
      </c>
      <c r="Y399" s="34" t="str">
        <f>HYPERLINK("https://api-enni.alpina.ru/FilePrivilegesApproval/782","https://api-enni.alpina.ru/FilePrivilegesApproval/782")</f>
        <v>https://api-enni.alpina.ru/FilePrivilegesApproval/782</v>
      </c>
      <c r="Z399" s="13" t="s">
        <v>77</v>
      </c>
      <c r="AT399" s="1">
        <f t="shared" si="45"/>
        <v>0</v>
      </c>
      <c r="AU399" s="1">
        <f t="shared" si="46"/>
        <v>0</v>
      </c>
      <c r="AV399" s="1">
        <f t="shared" si="47"/>
        <v>0</v>
      </c>
      <c r="AW399" s="1">
        <f t="shared" si="48"/>
        <v>0</v>
      </c>
      <c r="AX399" s="1">
        <f t="shared" si="49"/>
        <v>0</v>
      </c>
    </row>
    <row r="400" spans="1:50" s="1" customFormat="1" ht="24.95" customHeight="1" outlineLevel="3" x14ac:dyDescent="0.2">
      <c r="A400" s="11"/>
      <c r="B400" s="12">
        <v>320</v>
      </c>
      <c r="C400" s="12">
        <v>540</v>
      </c>
      <c r="D400" s="12">
        <v>31054</v>
      </c>
      <c r="E400" s="13" t="s">
        <v>1330</v>
      </c>
      <c r="F400" s="13" t="s">
        <v>1331</v>
      </c>
      <c r="G400" s="13" t="s">
        <v>86</v>
      </c>
      <c r="H400" s="13" t="s">
        <v>40</v>
      </c>
      <c r="I400" s="12">
        <v>2021</v>
      </c>
      <c r="J400" s="13" t="s">
        <v>1332</v>
      </c>
      <c r="K400" s="12">
        <v>9785002233274</v>
      </c>
      <c r="L400" s="13" t="s">
        <v>1333</v>
      </c>
      <c r="M400" s="12">
        <v>448</v>
      </c>
      <c r="N400" s="14">
        <v>0.28999999999999998</v>
      </c>
      <c r="O400" s="12">
        <v>120</v>
      </c>
      <c r="P400" s="12">
        <v>170</v>
      </c>
      <c r="Q400" s="12">
        <v>14</v>
      </c>
      <c r="R400" s="13" t="s">
        <v>75</v>
      </c>
      <c r="S400" s="13" t="s">
        <v>1317</v>
      </c>
      <c r="T400" s="15">
        <v>2000</v>
      </c>
      <c r="U400" s="13" t="s">
        <v>44</v>
      </c>
      <c r="V400" s="13" t="s">
        <v>64</v>
      </c>
      <c r="W400" s="12">
        <v>10</v>
      </c>
      <c r="X400" s="33" t="str">
        <f>HYPERLINK("https://www.alpinabook.ru/catalog/book-ne-mogu-ostanovitsya","ссылка на книгу")</f>
        <v>ссылка на книгу</v>
      </c>
      <c r="Y400" s="34" t="str">
        <f>HYPERLINK("https://api-enni.alpina.ru/FilePrivilegesApproval/149","https://api-enni.alpina.ru/FilePrivilegesApproval/149")</f>
        <v>https://api-enni.alpina.ru/FilePrivilegesApproval/149</v>
      </c>
      <c r="Z400" s="13"/>
      <c r="AT400" s="1">
        <f t="shared" si="45"/>
        <v>0</v>
      </c>
      <c r="AU400" s="1">
        <f t="shared" si="46"/>
        <v>0</v>
      </c>
      <c r="AV400" s="1">
        <f t="shared" si="47"/>
        <v>0</v>
      </c>
      <c r="AW400" s="1">
        <f t="shared" si="48"/>
        <v>0</v>
      </c>
      <c r="AX400" s="1">
        <f t="shared" si="49"/>
        <v>0</v>
      </c>
    </row>
    <row r="401" spans="1:50" s="1" customFormat="1" ht="24.95" customHeight="1" outlineLevel="3" x14ac:dyDescent="0.2">
      <c r="A401" s="11"/>
      <c r="B401" s="12">
        <v>590</v>
      </c>
      <c r="C401" s="12">
        <v>590</v>
      </c>
      <c r="D401" s="12">
        <v>18714</v>
      </c>
      <c r="E401" s="13" t="s">
        <v>1334</v>
      </c>
      <c r="F401" s="13" t="s">
        <v>1335</v>
      </c>
      <c r="G401" s="13" t="s">
        <v>56</v>
      </c>
      <c r="H401" s="13"/>
      <c r="I401" s="12">
        <v>2021</v>
      </c>
      <c r="J401" s="13" t="s">
        <v>1336</v>
      </c>
      <c r="K401" s="12">
        <v>9785961436709</v>
      </c>
      <c r="L401" s="13" t="s">
        <v>1337</v>
      </c>
      <c r="M401" s="12">
        <v>288</v>
      </c>
      <c r="N401" s="14">
        <v>0.53</v>
      </c>
      <c r="O401" s="12">
        <v>146</v>
      </c>
      <c r="P401" s="12">
        <v>216</v>
      </c>
      <c r="Q401" s="12">
        <v>12</v>
      </c>
      <c r="R401" s="13" t="s">
        <v>43</v>
      </c>
      <c r="S401" s="13"/>
      <c r="T401" s="15">
        <v>2500</v>
      </c>
      <c r="U401" s="13" t="s">
        <v>52</v>
      </c>
      <c r="V401" s="13" t="s">
        <v>64</v>
      </c>
      <c r="W401" s="12">
        <v>10</v>
      </c>
      <c r="X401" s="33" t="str">
        <f>HYPERLINK("https://www.alpinabook.ru/catalog/book-697235","ссылка на книгу")</f>
        <v>ссылка на книгу</v>
      </c>
      <c r="Y401" s="34" t="str">
        <f>HYPERLINK("https://api-enni.alpina.ru/FilePrivilegesApproval/84","https://api-enni.alpina.ru/FilePrivilegesApproval/84")</f>
        <v>https://api-enni.alpina.ru/FilePrivilegesApproval/84</v>
      </c>
      <c r="Z401" s="13"/>
      <c r="AT401" s="1">
        <f t="shared" si="45"/>
        <v>0</v>
      </c>
      <c r="AU401" s="1">
        <f t="shared" si="46"/>
        <v>0</v>
      </c>
      <c r="AV401" s="1">
        <f t="shared" si="47"/>
        <v>0</v>
      </c>
      <c r="AW401" s="1">
        <f t="shared" si="48"/>
        <v>0</v>
      </c>
      <c r="AX401" s="1">
        <f t="shared" si="49"/>
        <v>0</v>
      </c>
    </row>
    <row r="402" spans="1:50" s="1" customFormat="1" ht="24.95" customHeight="1" outlineLevel="3" x14ac:dyDescent="0.2">
      <c r="A402" s="11"/>
      <c r="B402" s="12">
        <v>640</v>
      </c>
      <c r="C402" s="12">
        <v>940</v>
      </c>
      <c r="D402" s="12">
        <v>30326</v>
      </c>
      <c r="E402" s="13" t="s">
        <v>1338</v>
      </c>
      <c r="F402" s="13" t="s">
        <v>1339</v>
      </c>
      <c r="G402" s="13" t="s">
        <v>56</v>
      </c>
      <c r="H402" s="13" t="s">
        <v>236</v>
      </c>
      <c r="I402" s="12">
        <v>2025</v>
      </c>
      <c r="J402" s="13" t="s">
        <v>1340</v>
      </c>
      <c r="K402" s="12">
        <v>9785961495201</v>
      </c>
      <c r="L402" s="13" t="s">
        <v>1341</v>
      </c>
      <c r="M402" s="12">
        <v>240</v>
      </c>
      <c r="N402" s="14">
        <v>0.39</v>
      </c>
      <c r="O402" s="12">
        <v>150</v>
      </c>
      <c r="P402" s="12">
        <v>220</v>
      </c>
      <c r="Q402" s="12">
        <v>16</v>
      </c>
      <c r="R402" s="13" t="s">
        <v>43</v>
      </c>
      <c r="S402" s="13"/>
      <c r="T402" s="15">
        <v>1500</v>
      </c>
      <c r="U402" s="13" t="s">
        <v>52</v>
      </c>
      <c r="V402" s="13" t="s">
        <v>59</v>
      </c>
      <c r="W402" s="12">
        <v>10</v>
      </c>
      <c r="X402" s="33" t="str">
        <f>HYPERLINK("https://www.alpinabook.ru/catalog/book-nevidimyy-slon","ссылка на книгу")</f>
        <v>ссылка на книгу</v>
      </c>
      <c r="Y402" s="34" t="str">
        <f>HYPERLINK("https://api-enni.alpina.ru/FilePrivilegesApproval/771","https://api-enni.alpina.ru/FilePrivilegesApproval/771")</f>
        <v>https://api-enni.alpina.ru/FilePrivilegesApproval/771</v>
      </c>
      <c r="Z402" s="13" t="s">
        <v>1342</v>
      </c>
      <c r="AT402" s="1">
        <f t="shared" si="45"/>
        <v>0</v>
      </c>
      <c r="AU402" s="1">
        <f t="shared" si="46"/>
        <v>0</v>
      </c>
      <c r="AV402" s="1">
        <f t="shared" si="47"/>
        <v>0</v>
      </c>
      <c r="AW402" s="1">
        <f t="shared" si="48"/>
        <v>0</v>
      </c>
      <c r="AX402" s="1">
        <f t="shared" si="49"/>
        <v>0</v>
      </c>
    </row>
    <row r="403" spans="1:50" s="1" customFormat="1" ht="24.95" customHeight="1" outlineLevel="3" x14ac:dyDescent="0.2">
      <c r="A403" s="11"/>
      <c r="B403" s="12">
        <v>590</v>
      </c>
      <c r="C403" s="12">
        <v>840</v>
      </c>
      <c r="D403" s="12">
        <v>28838</v>
      </c>
      <c r="E403" s="13" t="s">
        <v>1343</v>
      </c>
      <c r="F403" s="13" t="s">
        <v>1344</v>
      </c>
      <c r="G403" s="13" t="s">
        <v>56</v>
      </c>
      <c r="H403" s="13" t="s">
        <v>1090</v>
      </c>
      <c r="I403" s="12">
        <v>2025</v>
      </c>
      <c r="J403" s="13" t="s">
        <v>1345</v>
      </c>
      <c r="K403" s="12">
        <v>9785961490237</v>
      </c>
      <c r="L403" s="13" t="s">
        <v>1346</v>
      </c>
      <c r="M403" s="12">
        <v>216</v>
      </c>
      <c r="N403" s="14">
        <v>0.36</v>
      </c>
      <c r="O403" s="12">
        <v>140</v>
      </c>
      <c r="P403" s="12">
        <v>220</v>
      </c>
      <c r="Q403" s="12">
        <v>18</v>
      </c>
      <c r="R403" s="13" t="s">
        <v>43</v>
      </c>
      <c r="S403" s="13"/>
      <c r="T403" s="15">
        <v>2000</v>
      </c>
      <c r="U403" s="13" t="s">
        <v>52</v>
      </c>
      <c r="V403" s="13" t="s">
        <v>45</v>
      </c>
      <c r="W403" s="12">
        <v>10</v>
      </c>
      <c r="X403" s="33" t="str">
        <f>HYPERLINK("https://www.alpinabook.ru/catalog/book-neyrootlichnye","ссылка на книгу")</f>
        <v>ссылка на книгу</v>
      </c>
      <c r="Y403" s="34" t="str">
        <f>HYPERLINK("https://api-enni.alpina.ru/FilePrivilegesApproval/379","https://api-enni.alpina.ru/FilePrivilegesApproval/379")</f>
        <v>https://api-enni.alpina.ru/FilePrivilegesApproval/379</v>
      </c>
      <c r="Z403" s="13"/>
      <c r="AT403" s="1">
        <f t="shared" si="45"/>
        <v>0</v>
      </c>
      <c r="AU403" s="1">
        <f t="shared" si="46"/>
        <v>0</v>
      </c>
      <c r="AV403" s="1">
        <f t="shared" si="47"/>
        <v>0</v>
      </c>
      <c r="AW403" s="1">
        <f t="shared" si="48"/>
        <v>0</v>
      </c>
      <c r="AX403" s="1">
        <f t="shared" si="49"/>
        <v>0</v>
      </c>
    </row>
    <row r="404" spans="1:50" s="1" customFormat="1" ht="24.95" customHeight="1" outlineLevel="3" x14ac:dyDescent="0.2">
      <c r="A404" s="11"/>
      <c r="B404" s="12">
        <v>590</v>
      </c>
      <c r="C404" s="12">
        <v>890</v>
      </c>
      <c r="D404" s="12">
        <v>17930</v>
      </c>
      <c r="E404" s="13" t="s">
        <v>916</v>
      </c>
      <c r="F404" s="13" t="s">
        <v>1347</v>
      </c>
      <c r="G404" s="13" t="s">
        <v>86</v>
      </c>
      <c r="H404" s="13" t="s">
        <v>40</v>
      </c>
      <c r="I404" s="12">
        <v>2023</v>
      </c>
      <c r="J404" s="13" t="s">
        <v>1348</v>
      </c>
      <c r="K404" s="12">
        <v>9785001392514</v>
      </c>
      <c r="L404" s="13" t="s">
        <v>1349</v>
      </c>
      <c r="M404" s="12">
        <v>343</v>
      </c>
      <c r="N404" s="14">
        <v>0.5</v>
      </c>
      <c r="O404" s="12">
        <v>150</v>
      </c>
      <c r="P404" s="12">
        <v>220</v>
      </c>
      <c r="Q404" s="12">
        <v>12</v>
      </c>
      <c r="R404" s="13" t="s">
        <v>43</v>
      </c>
      <c r="S404" s="13"/>
      <c r="T404" s="15">
        <v>1500</v>
      </c>
      <c r="U404" s="13" t="s">
        <v>52</v>
      </c>
      <c r="V404" s="13" t="s">
        <v>45</v>
      </c>
      <c r="W404" s="12">
        <v>10</v>
      </c>
      <c r="X404" s="33" t="str">
        <f>HYPERLINK("https://www.alpinabook.ru/catalog/book-nelyubimaya-doch-voprosy-i-otvety","ссылка на книгу")</f>
        <v>ссылка на книгу</v>
      </c>
      <c r="Y404" s="34" t="str">
        <f>HYPERLINK("https://api-enni.alpina.ru/FilePrivilegesApproval/226","https://api-enni.alpina.ru/FilePrivilegesApproval/226")</f>
        <v>https://api-enni.alpina.ru/FilePrivilegesApproval/226</v>
      </c>
      <c r="Z404" s="13" t="s">
        <v>1350</v>
      </c>
      <c r="AT404" s="1">
        <f t="shared" si="45"/>
        <v>0</v>
      </c>
      <c r="AU404" s="1">
        <f t="shared" si="46"/>
        <v>0</v>
      </c>
      <c r="AV404" s="1">
        <f t="shared" si="47"/>
        <v>0</v>
      </c>
      <c r="AW404" s="1">
        <f t="shared" si="48"/>
        <v>0</v>
      </c>
      <c r="AX404" s="1">
        <f t="shared" si="49"/>
        <v>0</v>
      </c>
    </row>
    <row r="405" spans="1:50" s="1" customFormat="1" ht="24.95" customHeight="1" outlineLevel="3" x14ac:dyDescent="0.2">
      <c r="A405" s="11"/>
      <c r="B405" s="12">
        <v>590</v>
      </c>
      <c r="C405" s="12">
        <v>840</v>
      </c>
      <c r="D405" s="12">
        <v>29723</v>
      </c>
      <c r="E405" s="13" t="s">
        <v>1351</v>
      </c>
      <c r="F405" s="13" t="s">
        <v>1352</v>
      </c>
      <c r="G405" s="13" t="s">
        <v>56</v>
      </c>
      <c r="H405" s="13" t="s">
        <v>40</v>
      </c>
      <c r="I405" s="12">
        <v>2025</v>
      </c>
      <c r="J405" s="13" t="s">
        <v>1353</v>
      </c>
      <c r="K405" s="12">
        <v>9785961493597</v>
      </c>
      <c r="L405" s="13" t="s">
        <v>1354</v>
      </c>
      <c r="M405" s="12">
        <v>519</v>
      </c>
      <c r="N405" s="14">
        <v>0.71</v>
      </c>
      <c r="O405" s="12">
        <v>150</v>
      </c>
      <c r="P405" s="12">
        <v>220</v>
      </c>
      <c r="Q405" s="12">
        <v>8</v>
      </c>
      <c r="R405" s="13" t="s">
        <v>43</v>
      </c>
      <c r="S405" s="13"/>
      <c r="T405" s="15">
        <v>2000</v>
      </c>
      <c r="U405" s="13" t="s">
        <v>52</v>
      </c>
      <c r="V405" s="13" t="s">
        <v>89</v>
      </c>
      <c r="W405" s="12">
        <v>10</v>
      </c>
      <c r="X405" s="33" t="str">
        <f>HYPERLINK("https://www.alpinabook.ru/catalog/book-nikto-ne-pomozhet","ссылка на книгу")</f>
        <v>ссылка на книгу</v>
      </c>
      <c r="Y405" s="34" t="str">
        <f>HYPERLINK("https://api-enni.alpina.ru/FilePrivilegesApproval/835","https://api-enni.alpina.ru/FilePrivilegesApproval/835")</f>
        <v>https://api-enni.alpina.ru/FilePrivilegesApproval/835</v>
      </c>
      <c r="Z405" s="13" t="s">
        <v>775</v>
      </c>
      <c r="AT405" s="1">
        <f t="shared" si="45"/>
        <v>0</v>
      </c>
      <c r="AU405" s="1">
        <f t="shared" si="46"/>
        <v>0</v>
      </c>
      <c r="AV405" s="1">
        <f t="shared" si="47"/>
        <v>0</v>
      </c>
      <c r="AW405" s="1">
        <f t="shared" si="48"/>
        <v>0</v>
      </c>
      <c r="AX405" s="1">
        <f t="shared" si="49"/>
        <v>0</v>
      </c>
    </row>
    <row r="406" spans="1:50" s="1" customFormat="1" ht="24.95" customHeight="1" outlineLevel="3" x14ac:dyDescent="0.2">
      <c r="A406" s="11"/>
      <c r="B406" s="12">
        <v>490</v>
      </c>
      <c r="C406" s="12">
        <v>740</v>
      </c>
      <c r="D406" s="12">
        <v>26625</v>
      </c>
      <c r="E406" s="13" t="s">
        <v>124</v>
      </c>
      <c r="F406" s="13" t="s">
        <v>1355</v>
      </c>
      <c r="G406" s="13" t="s">
        <v>56</v>
      </c>
      <c r="H406" s="13"/>
      <c r="I406" s="12">
        <v>2024</v>
      </c>
      <c r="J406" s="13" t="s">
        <v>1356</v>
      </c>
      <c r="K406" s="12">
        <v>9785961482447</v>
      </c>
      <c r="L406" s="13" t="s">
        <v>1357</v>
      </c>
      <c r="M406" s="12">
        <v>130</v>
      </c>
      <c r="N406" s="14">
        <v>0.22</v>
      </c>
      <c r="O406" s="12">
        <v>140</v>
      </c>
      <c r="P406" s="12">
        <v>210</v>
      </c>
      <c r="Q406" s="12">
        <v>24</v>
      </c>
      <c r="R406" s="13" t="s">
        <v>43</v>
      </c>
      <c r="S406" s="13"/>
      <c r="T406" s="15">
        <v>1500</v>
      </c>
      <c r="U406" s="13" t="s">
        <v>44</v>
      </c>
      <c r="V406" s="13" t="s">
        <v>59</v>
      </c>
      <c r="W406" s="12">
        <v>10</v>
      </c>
      <c r="X406" s="33" t="str">
        <f>HYPERLINK("https://www.alpinabook.ru/catalog/book-obshchenie-s-pozhilymi-roditelyami","ссылка на книгу")</f>
        <v>ссылка на книгу</v>
      </c>
      <c r="Y406" s="34" t="str">
        <f>HYPERLINK("https://api-enni.alpina.ru/FilePrivilegesApproval/163","https://api-enni.alpina.ru/FilePrivilegesApproval/163")</f>
        <v>https://api-enni.alpina.ru/FilePrivilegesApproval/163</v>
      </c>
      <c r="Z406" s="13"/>
      <c r="AT406" s="1">
        <f t="shared" si="45"/>
        <v>0</v>
      </c>
      <c r="AU406" s="1">
        <f t="shared" si="46"/>
        <v>0</v>
      </c>
      <c r="AV406" s="1">
        <f t="shared" si="47"/>
        <v>0</v>
      </c>
      <c r="AW406" s="1">
        <f t="shared" si="48"/>
        <v>0</v>
      </c>
      <c r="AX406" s="1">
        <f t="shared" si="49"/>
        <v>0</v>
      </c>
    </row>
    <row r="407" spans="1:50" s="1" customFormat="1" ht="24.95" customHeight="1" outlineLevel="3" x14ac:dyDescent="0.2">
      <c r="A407" s="11"/>
      <c r="B407" s="12">
        <v>590</v>
      </c>
      <c r="C407" s="12">
        <v>590</v>
      </c>
      <c r="D407" s="12">
        <v>23355</v>
      </c>
      <c r="E407" s="13" t="s">
        <v>1358</v>
      </c>
      <c r="F407" s="13" t="s">
        <v>1359</v>
      </c>
      <c r="G407" s="13" t="s">
        <v>56</v>
      </c>
      <c r="H407" s="13"/>
      <c r="I407" s="12">
        <v>2022</v>
      </c>
      <c r="J407" s="13" t="s">
        <v>1360</v>
      </c>
      <c r="K407" s="12">
        <v>9785961473889</v>
      </c>
      <c r="L407" s="13" t="s">
        <v>1361</v>
      </c>
      <c r="M407" s="12">
        <v>254</v>
      </c>
      <c r="N407" s="14">
        <v>0.41</v>
      </c>
      <c r="O407" s="12">
        <v>146</v>
      </c>
      <c r="P407" s="12">
        <v>216</v>
      </c>
      <c r="Q407" s="12">
        <v>14</v>
      </c>
      <c r="R407" s="13" t="s">
        <v>43</v>
      </c>
      <c r="S407" s="13"/>
      <c r="T407" s="15">
        <v>3000</v>
      </c>
      <c r="U407" s="13" t="s">
        <v>52</v>
      </c>
      <c r="V407" s="13" t="s">
        <v>45</v>
      </c>
      <c r="W407" s="12">
        <v>10</v>
      </c>
      <c r="X407" s="33" t="str">
        <f>HYPERLINK("https://www.alpinabook.ru/catalog/book-odno-rasstroystvo","ссылка на книгу")</f>
        <v>ссылка на книгу</v>
      </c>
      <c r="Y407" s="34" t="str">
        <f>HYPERLINK("https://api-enni.alpina.ru/FilePrivilegesApproval/122","https://api-enni.alpina.ru/FilePrivilegesApproval/122")</f>
        <v>https://api-enni.alpina.ru/FilePrivilegesApproval/122</v>
      </c>
      <c r="Z407" s="13"/>
      <c r="AT407" s="1">
        <f t="shared" si="45"/>
        <v>0</v>
      </c>
      <c r="AU407" s="1">
        <f t="shared" si="46"/>
        <v>0</v>
      </c>
      <c r="AV407" s="1">
        <f t="shared" si="47"/>
        <v>0</v>
      </c>
      <c r="AW407" s="1">
        <f t="shared" si="48"/>
        <v>0</v>
      </c>
      <c r="AX407" s="1">
        <f t="shared" si="49"/>
        <v>0</v>
      </c>
    </row>
    <row r="408" spans="1:50" s="1" customFormat="1" ht="24.95" customHeight="1" outlineLevel="3" x14ac:dyDescent="0.2">
      <c r="A408" s="11"/>
      <c r="B408" s="12">
        <v>740</v>
      </c>
      <c r="C408" s="15">
        <v>1090</v>
      </c>
      <c r="D408" s="12">
        <v>28553</v>
      </c>
      <c r="E408" s="13" t="s">
        <v>1362</v>
      </c>
      <c r="F408" s="13" t="s">
        <v>1363</v>
      </c>
      <c r="G408" s="13" t="s">
        <v>97</v>
      </c>
      <c r="H408" s="13"/>
      <c r="I408" s="12">
        <v>2024</v>
      </c>
      <c r="J408" s="13" t="s">
        <v>1364</v>
      </c>
      <c r="K408" s="12">
        <v>9785206002157</v>
      </c>
      <c r="L408" s="13" t="s">
        <v>1365</v>
      </c>
      <c r="M408" s="12">
        <v>64</v>
      </c>
      <c r="N408" s="14">
        <v>7.0000000000000007E-2</v>
      </c>
      <c r="O408" s="12">
        <v>140</v>
      </c>
      <c r="P408" s="12">
        <v>180</v>
      </c>
      <c r="Q408" s="12">
        <v>20</v>
      </c>
      <c r="R408" s="13" t="s">
        <v>43</v>
      </c>
      <c r="S408" s="13"/>
      <c r="T408" s="15">
        <v>1505</v>
      </c>
      <c r="U408" s="13" t="s">
        <v>604</v>
      </c>
      <c r="V408" s="13" t="s">
        <v>269</v>
      </c>
      <c r="W408" s="12">
        <v>10</v>
      </c>
      <c r="X408" s="33" t="str">
        <f>HYPERLINK("https://www.alpinabook.ru/catalog/book-oranzhada","ссылка на книгу")</f>
        <v>ссылка на книгу</v>
      </c>
      <c r="Y408" s="34" t="str">
        <f>HYPERLINK("https://api-enni.alpina.ru/FilePrivilegesApproval/357","https://api-enni.alpina.ru/FilePrivilegesApproval/357")</f>
        <v>https://api-enni.alpina.ru/FilePrivilegesApproval/357</v>
      </c>
      <c r="Z408" s="13"/>
      <c r="AT408" s="1">
        <f t="shared" si="45"/>
        <v>0</v>
      </c>
      <c r="AU408" s="1">
        <f t="shared" si="46"/>
        <v>0</v>
      </c>
      <c r="AV408" s="1">
        <f t="shared" si="47"/>
        <v>0</v>
      </c>
      <c r="AW408" s="1">
        <f t="shared" si="48"/>
        <v>0</v>
      </c>
      <c r="AX408" s="1">
        <f t="shared" si="49"/>
        <v>0</v>
      </c>
    </row>
    <row r="409" spans="1:50" s="1" customFormat="1" ht="24.95" customHeight="1" outlineLevel="3" x14ac:dyDescent="0.2">
      <c r="A409" s="11"/>
      <c r="B409" s="12">
        <v>690</v>
      </c>
      <c r="C409" s="12">
        <v>690</v>
      </c>
      <c r="D409" s="12">
        <v>26514</v>
      </c>
      <c r="E409" s="13" t="s">
        <v>1366</v>
      </c>
      <c r="F409" s="13" t="s">
        <v>1367</v>
      </c>
      <c r="G409" s="13" t="s">
        <v>97</v>
      </c>
      <c r="H409" s="13"/>
      <c r="I409" s="12">
        <v>2023</v>
      </c>
      <c r="J409" s="13" t="s">
        <v>1368</v>
      </c>
      <c r="K409" s="12">
        <v>9785206000818</v>
      </c>
      <c r="L409" s="13" t="s">
        <v>1369</v>
      </c>
      <c r="M409" s="12">
        <v>160</v>
      </c>
      <c r="N409" s="14">
        <v>0.34</v>
      </c>
      <c r="O409" s="12">
        <v>170</v>
      </c>
      <c r="P409" s="12">
        <v>220</v>
      </c>
      <c r="Q409" s="12">
        <v>12</v>
      </c>
      <c r="R409" s="13" t="s">
        <v>43</v>
      </c>
      <c r="S409" s="13"/>
      <c r="T409" s="15">
        <v>1505</v>
      </c>
      <c r="U409" s="13" t="s">
        <v>52</v>
      </c>
      <c r="V409" s="13" t="s">
        <v>59</v>
      </c>
      <c r="W409" s="12">
        <v>10</v>
      </c>
      <c r="X409" s="33" t="str">
        <f>HYPERLINK("https://www.alpinabook.ru/catalog/book-osmyslenno-tvorcheski-schastlivo","ссылка на книгу")</f>
        <v>ссылка на книгу</v>
      </c>
      <c r="Y409" s="34" t="str">
        <f>HYPERLINK("https://api-enni.alpina.ru/FilePrivilegesApproval/168","https://api-enni.alpina.ru/FilePrivilegesApproval/168")</f>
        <v>https://api-enni.alpina.ru/FilePrivilegesApproval/168</v>
      </c>
      <c r="Z409" s="13"/>
      <c r="AT409" s="1">
        <f t="shared" si="45"/>
        <v>0</v>
      </c>
      <c r="AU409" s="1">
        <f t="shared" si="46"/>
        <v>0</v>
      </c>
      <c r="AV409" s="1">
        <f t="shared" si="47"/>
        <v>0</v>
      </c>
      <c r="AW409" s="1">
        <f t="shared" si="48"/>
        <v>0</v>
      </c>
      <c r="AX409" s="1">
        <f t="shared" si="49"/>
        <v>0</v>
      </c>
    </row>
    <row r="410" spans="1:50" s="1" customFormat="1" ht="24.95" customHeight="1" outlineLevel="3" x14ac:dyDescent="0.2">
      <c r="A410" s="11"/>
      <c r="B410" s="12">
        <v>290</v>
      </c>
      <c r="C410" s="12">
        <v>440</v>
      </c>
      <c r="D410" s="12">
        <v>28600</v>
      </c>
      <c r="E410" s="13" t="s">
        <v>1370</v>
      </c>
      <c r="F410" s="13" t="s">
        <v>1371</v>
      </c>
      <c r="G410" s="13" t="s">
        <v>56</v>
      </c>
      <c r="H410" s="13" t="s">
        <v>40</v>
      </c>
      <c r="I410" s="12">
        <v>2023</v>
      </c>
      <c r="J410" s="13" t="s">
        <v>1372</v>
      </c>
      <c r="K410" s="12">
        <v>9785961489446</v>
      </c>
      <c r="L410" s="13" t="s">
        <v>1373</v>
      </c>
      <c r="M410" s="12">
        <v>303</v>
      </c>
      <c r="N410" s="14">
        <v>0.2</v>
      </c>
      <c r="O410" s="12">
        <v>120</v>
      </c>
      <c r="P410" s="12">
        <v>170</v>
      </c>
      <c r="Q410" s="12">
        <v>20</v>
      </c>
      <c r="R410" s="13" t="s">
        <v>75</v>
      </c>
      <c r="S410" s="13" t="s">
        <v>253</v>
      </c>
      <c r="T410" s="15">
        <v>3000</v>
      </c>
      <c r="U410" s="13" t="s">
        <v>44</v>
      </c>
      <c r="V410" s="13" t="s">
        <v>59</v>
      </c>
      <c r="W410" s="12">
        <v>10</v>
      </c>
      <c r="X410" s="33" t="str">
        <f>HYPERLINK("https://www.alpinabook.ru/catalog/book-osoznannoe-nepodchinenie","ссылка на книгу")</f>
        <v>ссылка на книгу</v>
      </c>
      <c r="Y410" s="34" t="str">
        <f>HYPERLINK("https://api-enni.alpina.ru/FilePrivilegesApproval/284","https://api-enni.alpina.ru/FilePrivilegesApproval/284")</f>
        <v>https://api-enni.alpina.ru/FilePrivilegesApproval/284</v>
      </c>
      <c r="Z410" s="13"/>
      <c r="AT410" s="1">
        <f t="shared" si="45"/>
        <v>0</v>
      </c>
      <c r="AU410" s="1">
        <f t="shared" si="46"/>
        <v>0</v>
      </c>
      <c r="AV410" s="1">
        <f t="shared" si="47"/>
        <v>0</v>
      </c>
      <c r="AW410" s="1">
        <f t="shared" si="48"/>
        <v>0</v>
      </c>
      <c r="AX410" s="1">
        <f t="shared" si="49"/>
        <v>0</v>
      </c>
    </row>
    <row r="411" spans="1:50" s="1" customFormat="1" ht="24.95" customHeight="1" outlineLevel="3" x14ac:dyDescent="0.2">
      <c r="A411" s="11"/>
      <c r="B411" s="12">
        <v>550</v>
      </c>
      <c r="C411" s="12">
        <v>790</v>
      </c>
      <c r="D411" s="12">
        <v>31675</v>
      </c>
      <c r="E411" s="13" t="s">
        <v>137</v>
      </c>
      <c r="F411" s="13" t="s">
        <v>138</v>
      </c>
      <c r="G411" s="13" t="s">
        <v>56</v>
      </c>
      <c r="H411" s="13" t="s">
        <v>40</v>
      </c>
      <c r="I411" s="12">
        <v>2025</v>
      </c>
      <c r="J411" s="13" t="s">
        <v>139</v>
      </c>
      <c r="K411" s="12">
        <v>9785961499872</v>
      </c>
      <c r="L411" s="13" t="s">
        <v>140</v>
      </c>
      <c r="M411" s="12">
        <v>200</v>
      </c>
      <c r="N411" s="14">
        <v>0.44</v>
      </c>
      <c r="O411" s="12">
        <v>170</v>
      </c>
      <c r="P411" s="12">
        <v>240</v>
      </c>
      <c r="Q411" s="12">
        <v>10</v>
      </c>
      <c r="R411" s="13" t="s">
        <v>94</v>
      </c>
      <c r="S411" s="13" t="s">
        <v>141</v>
      </c>
      <c r="T411" s="15">
        <v>3000</v>
      </c>
      <c r="U411" s="13" t="s">
        <v>52</v>
      </c>
      <c r="V411" s="13" t="s">
        <v>45</v>
      </c>
      <c r="W411" s="12">
        <v>10</v>
      </c>
      <c r="X411" s="33" t="str">
        <f>HYPERLINK("https://www.alpinabook.ru/catalog/book-ostanovi-svoi-emotsionalnye-kacheli","ссылка на книгу")</f>
        <v>ссылка на книгу</v>
      </c>
      <c r="Y411" s="34" t="str">
        <f>HYPERLINK("https://api-enni.alpina.ru/FilePrivilegesApproval/782","https://api-enni.alpina.ru/FilePrivilegesApproval/782")</f>
        <v>https://api-enni.alpina.ru/FilePrivilegesApproval/782</v>
      </c>
      <c r="Z411" s="13" t="s">
        <v>142</v>
      </c>
      <c r="AT411" s="1">
        <f t="shared" si="45"/>
        <v>0</v>
      </c>
      <c r="AU411" s="1">
        <f t="shared" si="46"/>
        <v>0</v>
      </c>
      <c r="AV411" s="1">
        <f t="shared" si="47"/>
        <v>0</v>
      </c>
      <c r="AW411" s="1">
        <f t="shared" si="48"/>
        <v>0</v>
      </c>
      <c r="AX411" s="1">
        <f t="shared" si="49"/>
        <v>0</v>
      </c>
    </row>
    <row r="412" spans="1:50" s="1" customFormat="1" ht="24.95" customHeight="1" outlineLevel="3" x14ac:dyDescent="0.2">
      <c r="A412" s="11"/>
      <c r="B412" s="12">
        <v>590</v>
      </c>
      <c r="C412" s="12">
        <v>840</v>
      </c>
      <c r="D412" s="12">
        <v>30607</v>
      </c>
      <c r="E412" s="13" t="s">
        <v>1374</v>
      </c>
      <c r="F412" s="13" t="s">
        <v>1375</v>
      </c>
      <c r="G412" s="13" t="s">
        <v>56</v>
      </c>
      <c r="H412" s="13" t="s">
        <v>40</v>
      </c>
      <c r="I412" s="12">
        <v>2025</v>
      </c>
      <c r="J412" s="13" t="s">
        <v>1376</v>
      </c>
      <c r="K412" s="12">
        <v>9785961496031</v>
      </c>
      <c r="L412" s="13" t="s">
        <v>1377</v>
      </c>
      <c r="M412" s="12">
        <v>272</v>
      </c>
      <c r="N412" s="14">
        <v>0.43</v>
      </c>
      <c r="O412" s="12">
        <v>170</v>
      </c>
      <c r="P412" s="12">
        <v>240</v>
      </c>
      <c r="Q412" s="12">
        <v>9</v>
      </c>
      <c r="R412" s="13" t="s">
        <v>94</v>
      </c>
      <c r="S412" s="13"/>
      <c r="T412" s="15">
        <v>1500</v>
      </c>
      <c r="U412" s="13" t="s">
        <v>44</v>
      </c>
      <c r="V412" s="13" t="s">
        <v>59</v>
      </c>
      <c r="W412" s="12">
        <v>10</v>
      </c>
      <c r="X412" s="33" t="str">
        <f>HYPERLINK("https://www.alpinabook.ru/catalog/book-ostanovis-i-podumay","ссылка на книгу")</f>
        <v>ссылка на книгу</v>
      </c>
      <c r="Y412" s="34" t="str">
        <f>HYPERLINK("https://api-enni.alpina.ru/FilePrivilegesApproval/713","https://api-enni.alpina.ru/FilePrivilegesApproval/713")</f>
        <v>https://api-enni.alpina.ru/FilePrivilegesApproval/713</v>
      </c>
      <c r="Z412" s="13"/>
      <c r="AT412" s="1">
        <f t="shared" si="45"/>
        <v>0</v>
      </c>
      <c r="AU412" s="1">
        <f t="shared" si="46"/>
        <v>0</v>
      </c>
      <c r="AV412" s="1">
        <f t="shared" si="47"/>
        <v>0</v>
      </c>
      <c r="AW412" s="1">
        <f t="shared" si="48"/>
        <v>0</v>
      </c>
      <c r="AX412" s="1">
        <f t="shared" si="49"/>
        <v>0</v>
      </c>
    </row>
    <row r="413" spans="1:50" s="1" customFormat="1" ht="24.95" customHeight="1" outlineLevel="3" x14ac:dyDescent="0.2">
      <c r="A413" s="11"/>
      <c r="B413" s="12">
        <v>340</v>
      </c>
      <c r="C413" s="12">
        <v>540</v>
      </c>
      <c r="D413" s="12">
        <v>31194</v>
      </c>
      <c r="E413" s="13" t="s">
        <v>1378</v>
      </c>
      <c r="F413" s="13" t="s">
        <v>1379</v>
      </c>
      <c r="G413" s="13" t="s">
        <v>56</v>
      </c>
      <c r="H413" s="13" t="s">
        <v>40</v>
      </c>
      <c r="I413" s="12">
        <v>2024</v>
      </c>
      <c r="J413" s="13" t="s">
        <v>1380</v>
      </c>
      <c r="K413" s="12">
        <v>9785961497861</v>
      </c>
      <c r="L413" s="13" t="s">
        <v>1381</v>
      </c>
      <c r="M413" s="12">
        <v>330</v>
      </c>
      <c r="N413" s="14">
        <v>0.22</v>
      </c>
      <c r="O413" s="12">
        <v>120</v>
      </c>
      <c r="P413" s="12">
        <v>170</v>
      </c>
      <c r="Q413" s="12">
        <v>16</v>
      </c>
      <c r="R413" s="13" t="s">
        <v>75</v>
      </c>
      <c r="S413" s="13" t="s">
        <v>76</v>
      </c>
      <c r="T413" s="15">
        <v>2000</v>
      </c>
      <c r="U413" s="13" t="s">
        <v>44</v>
      </c>
      <c r="V413" s="13" t="s">
        <v>269</v>
      </c>
      <c r="W413" s="12">
        <v>10</v>
      </c>
      <c r="X413" s="33" t="str">
        <f>HYPERLINK("https://www.alpinabook.ru/catalog/book-ostorozhno-nartsiss","ссылка на книгу")</f>
        <v>ссылка на книгу</v>
      </c>
      <c r="Y413" s="34" t="str">
        <f>HYPERLINK("https://api-enni.alpina.ru/FilePrivilegesApproval/543","https://api-enni.alpina.ru/FilePrivilegesApproval/543")</f>
        <v>https://api-enni.alpina.ru/FilePrivilegesApproval/543</v>
      </c>
      <c r="Z413" s="13"/>
      <c r="AT413" s="1">
        <f t="shared" si="45"/>
        <v>0</v>
      </c>
      <c r="AU413" s="1">
        <f t="shared" si="46"/>
        <v>0</v>
      </c>
      <c r="AV413" s="1">
        <f t="shared" si="47"/>
        <v>0</v>
      </c>
      <c r="AW413" s="1">
        <f t="shared" si="48"/>
        <v>0</v>
      </c>
      <c r="AX413" s="1">
        <f t="shared" si="49"/>
        <v>0</v>
      </c>
    </row>
    <row r="414" spans="1:50" s="1" customFormat="1" ht="24.95" customHeight="1" outlineLevel="3" x14ac:dyDescent="0.2">
      <c r="A414" s="11"/>
      <c r="B414" s="12">
        <v>290</v>
      </c>
      <c r="C414" s="12">
        <v>440</v>
      </c>
      <c r="D414" s="12">
        <v>27632</v>
      </c>
      <c r="E414" s="13" t="s">
        <v>945</v>
      </c>
      <c r="F414" s="13" t="s">
        <v>1382</v>
      </c>
      <c r="G414" s="13" t="s">
        <v>56</v>
      </c>
      <c r="H414" s="13" t="s">
        <v>40</v>
      </c>
      <c r="I414" s="12">
        <v>2025</v>
      </c>
      <c r="J414" s="13" t="s">
        <v>1383</v>
      </c>
      <c r="K414" s="12">
        <v>9785961485882</v>
      </c>
      <c r="L414" s="13" t="s">
        <v>1384</v>
      </c>
      <c r="M414" s="12">
        <v>176</v>
      </c>
      <c r="N414" s="14">
        <v>0.19</v>
      </c>
      <c r="O414" s="12">
        <v>130</v>
      </c>
      <c r="P414" s="12">
        <v>200</v>
      </c>
      <c r="Q414" s="12">
        <v>15</v>
      </c>
      <c r="R414" s="13" t="s">
        <v>82</v>
      </c>
      <c r="S414" s="13" t="s">
        <v>950</v>
      </c>
      <c r="T414" s="15">
        <v>1000</v>
      </c>
      <c r="U414" s="13" t="s">
        <v>44</v>
      </c>
      <c r="V414" s="13" t="s">
        <v>64</v>
      </c>
      <c r="W414" s="12">
        <v>10</v>
      </c>
      <c r="X414" s="33" t="str">
        <f>HYPERLINK("https://www.alpinabook.ru/catalog/book-ot-vsego-serdtsa","ссылка на книгу")</f>
        <v>ссылка на книгу</v>
      </c>
      <c r="Y414" s="34" t="str">
        <f>HYPERLINK("https://api-enni.alpina.ru/FilePrivilegesApproval/152","https://api-enni.alpina.ru/FilePrivilegesApproval/152")</f>
        <v>https://api-enni.alpina.ru/FilePrivilegesApproval/152</v>
      </c>
      <c r="Z414" s="13" t="s">
        <v>118</v>
      </c>
      <c r="AT414" s="1">
        <f t="shared" si="45"/>
        <v>0</v>
      </c>
      <c r="AU414" s="1">
        <f t="shared" si="46"/>
        <v>0</v>
      </c>
      <c r="AV414" s="1">
        <f t="shared" si="47"/>
        <v>0</v>
      </c>
      <c r="AW414" s="1">
        <f t="shared" si="48"/>
        <v>0</v>
      </c>
      <c r="AX414" s="1">
        <f t="shared" si="49"/>
        <v>0</v>
      </c>
    </row>
    <row r="415" spans="1:50" s="1" customFormat="1" ht="24.95" customHeight="1" outlineLevel="3" x14ac:dyDescent="0.2">
      <c r="A415" s="11"/>
      <c r="B415" s="12">
        <v>650</v>
      </c>
      <c r="C415" s="12">
        <v>940</v>
      </c>
      <c r="D415" s="12">
        <v>26593</v>
      </c>
      <c r="E415" s="13" t="s">
        <v>1385</v>
      </c>
      <c r="F415" s="13" t="s">
        <v>1386</v>
      </c>
      <c r="G415" s="13" t="s">
        <v>56</v>
      </c>
      <c r="H415" s="13"/>
      <c r="I415" s="12">
        <v>2023</v>
      </c>
      <c r="J415" s="13" t="s">
        <v>1387</v>
      </c>
      <c r="K415" s="12">
        <v>9785961482331</v>
      </c>
      <c r="L415" s="13" t="s">
        <v>1388</v>
      </c>
      <c r="M415" s="12">
        <v>212</v>
      </c>
      <c r="N415" s="14">
        <v>0.35</v>
      </c>
      <c r="O415" s="12">
        <v>146</v>
      </c>
      <c r="P415" s="12">
        <v>216</v>
      </c>
      <c r="Q415" s="12">
        <v>16</v>
      </c>
      <c r="R415" s="13" t="s">
        <v>43</v>
      </c>
      <c r="S415" s="13"/>
      <c r="T415" s="15">
        <v>2000</v>
      </c>
      <c r="U415" s="13" t="s">
        <v>52</v>
      </c>
      <c r="V415" s="13" t="s">
        <v>64</v>
      </c>
      <c r="W415" s="12">
        <v>10</v>
      </c>
      <c r="X415" s="33" t="str">
        <f>HYPERLINK("https://www.alpinabook.ru/catalog/book-ot-dzhuna-do-senora","ссылка на книгу")</f>
        <v>ссылка на книгу</v>
      </c>
      <c r="Y415" s="34" t="str">
        <f>HYPERLINK("https://api-enni.alpina.ru/FilePrivilegesApproval/172","https://api-enni.alpina.ru/FilePrivilegesApproval/172")</f>
        <v>https://api-enni.alpina.ru/FilePrivilegesApproval/172</v>
      </c>
      <c r="Z415" s="13"/>
      <c r="AT415" s="1">
        <f t="shared" si="45"/>
        <v>0</v>
      </c>
      <c r="AU415" s="1">
        <f t="shared" si="46"/>
        <v>0</v>
      </c>
      <c r="AV415" s="1">
        <f t="shared" si="47"/>
        <v>0</v>
      </c>
      <c r="AW415" s="1">
        <f t="shared" si="48"/>
        <v>0</v>
      </c>
      <c r="AX415" s="1">
        <f t="shared" si="49"/>
        <v>0</v>
      </c>
    </row>
    <row r="416" spans="1:50" s="1" customFormat="1" ht="24.95" customHeight="1" outlineLevel="3" x14ac:dyDescent="0.2">
      <c r="A416" s="11"/>
      <c r="B416" s="12">
        <v>590</v>
      </c>
      <c r="C416" s="12">
        <v>840</v>
      </c>
      <c r="D416" s="12">
        <v>28689</v>
      </c>
      <c r="E416" s="13" t="s">
        <v>1389</v>
      </c>
      <c r="F416" s="13" t="s">
        <v>1390</v>
      </c>
      <c r="G416" s="13" t="s">
        <v>56</v>
      </c>
      <c r="H416" s="13" t="s">
        <v>1391</v>
      </c>
      <c r="I416" s="12">
        <v>2025</v>
      </c>
      <c r="J416" s="13" t="s">
        <v>1392</v>
      </c>
      <c r="K416" s="12">
        <v>9785961489705</v>
      </c>
      <c r="L416" s="13" t="s">
        <v>1393</v>
      </c>
      <c r="M416" s="12">
        <v>214</v>
      </c>
      <c r="N416" s="14">
        <v>0.27</v>
      </c>
      <c r="O416" s="12">
        <v>150</v>
      </c>
      <c r="P416" s="12">
        <v>210</v>
      </c>
      <c r="Q416" s="12">
        <v>20</v>
      </c>
      <c r="R416" s="13" t="s">
        <v>43</v>
      </c>
      <c r="S416" s="13"/>
      <c r="T416" s="15">
        <v>1500</v>
      </c>
      <c r="U416" s="13" t="s">
        <v>44</v>
      </c>
      <c r="V416" s="13" t="s">
        <v>45</v>
      </c>
      <c r="W416" s="12">
        <v>10</v>
      </c>
      <c r="X416" s="33" t="str">
        <f>HYPERLINK("https://www.alpinabook.ru/catalog/book-otpustit-i-rasslabitsya","ссылка на книгу")</f>
        <v>ссылка на книгу</v>
      </c>
      <c r="Y416" s="34" t="str">
        <f>HYPERLINK("https://api-enni.alpina.ru/FilePrivilegesApproval/713","https://api-enni.alpina.ru/FilePrivilegesApproval/713")</f>
        <v>https://api-enni.alpina.ru/FilePrivilegesApproval/713</v>
      </c>
      <c r="Z416" s="13"/>
      <c r="AT416" s="1">
        <f t="shared" si="45"/>
        <v>0</v>
      </c>
      <c r="AU416" s="1">
        <f t="shared" si="46"/>
        <v>0</v>
      </c>
      <c r="AV416" s="1">
        <f t="shared" si="47"/>
        <v>0</v>
      </c>
      <c r="AW416" s="1">
        <f t="shared" si="48"/>
        <v>0</v>
      </c>
      <c r="AX416" s="1">
        <f t="shared" si="49"/>
        <v>0</v>
      </c>
    </row>
    <row r="417" spans="1:50" s="1" customFormat="1" ht="24.95" customHeight="1" outlineLevel="3" x14ac:dyDescent="0.2">
      <c r="A417" s="11"/>
      <c r="B417" s="12">
        <v>590</v>
      </c>
      <c r="C417" s="12">
        <v>840</v>
      </c>
      <c r="D417" s="12">
        <v>27301</v>
      </c>
      <c r="E417" s="13" t="s">
        <v>1394</v>
      </c>
      <c r="F417" s="13" t="s">
        <v>1395</v>
      </c>
      <c r="G417" s="13" t="s">
        <v>56</v>
      </c>
      <c r="H417" s="13" t="s">
        <v>40</v>
      </c>
      <c r="I417" s="12">
        <v>2023</v>
      </c>
      <c r="J417" s="13" t="s">
        <v>1396</v>
      </c>
      <c r="K417" s="12">
        <v>9785961484557</v>
      </c>
      <c r="L417" s="13" t="s">
        <v>1397</v>
      </c>
      <c r="M417" s="12">
        <v>264</v>
      </c>
      <c r="N417" s="14">
        <v>0.32</v>
      </c>
      <c r="O417" s="12">
        <v>140</v>
      </c>
      <c r="P417" s="12">
        <v>210</v>
      </c>
      <c r="Q417" s="12">
        <v>16</v>
      </c>
      <c r="R417" s="13" t="s">
        <v>43</v>
      </c>
      <c r="S417" s="13"/>
      <c r="T417" s="15">
        <v>2000</v>
      </c>
      <c r="U417" s="13" t="s">
        <v>44</v>
      </c>
      <c r="V417" s="13" t="s">
        <v>59</v>
      </c>
      <c r="W417" s="12">
        <v>10</v>
      </c>
      <c r="X417" s="33" t="str">
        <f>HYPERLINK("https://www.alpinabook.ru/catalog/book-peresobrat-sebya","ссылка на книгу")</f>
        <v>ссылка на книгу</v>
      </c>
      <c r="Y417" s="34" t="str">
        <f>HYPERLINK("https://api-enni.alpina.ru/FilePrivilegesApproval/313","https://api-enni.alpina.ru/FilePrivilegesApproval/313")</f>
        <v>https://api-enni.alpina.ru/FilePrivilegesApproval/313</v>
      </c>
      <c r="Z417" s="13"/>
      <c r="AT417" s="1">
        <f t="shared" si="45"/>
        <v>0</v>
      </c>
      <c r="AU417" s="1">
        <f t="shared" si="46"/>
        <v>0</v>
      </c>
      <c r="AV417" s="1">
        <f t="shared" si="47"/>
        <v>0</v>
      </c>
      <c r="AW417" s="1">
        <f t="shared" si="48"/>
        <v>0</v>
      </c>
      <c r="AX417" s="1">
        <f t="shared" si="49"/>
        <v>0</v>
      </c>
    </row>
    <row r="418" spans="1:50" s="1" customFormat="1" ht="24.95" customHeight="1" outlineLevel="3" x14ac:dyDescent="0.2">
      <c r="A418" s="11"/>
      <c r="B418" s="12">
        <v>690</v>
      </c>
      <c r="C418" s="12">
        <v>990</v>
      </c>
      <c r="D418" s="12">
        <v>29018</v>
      </c>
      <c r="E418" s="13" t="s">
        <v>1398</v>
      </c>
      <c r="F418" s="13" t="s">
        <v>1399</v>
      </c>
      <c r="G418" s="13" t="s">
        <v>97</v>
      </c>
      <c r="H418" s="13"/>
      <c r="I418" s="12">
        <v>2023</v>
      </c>
      <c r="J418" s="13" t="s">
        <v>1400</v>
      </c>
      <c r="K418" s="12">
        <v>9785206002508</v>
      </c>
      <c r="L418" s="13" t="s">
        <v>1401</v>
      </c>
      <c r="M418" s="12">
        <v>152</v>
      </c>
      <c r="N418" s="14">
        <v>0.28999999999999998</v>
      </c>
      <c r="O418" s="12">
        <v>150</v>
      </c>
      <c r="P418" s="12">
        <v>220</v>
      </c>
      <c r="Q418" s="12">
        <v>8</v>
      </c>
      <c r="R418" s="13" t="s">
        <v>43</v>
      </c>
      <c r="S418" s="13"/>
      <c r="T418" s="15">
        <v>1005</v>
      </c>
      <c r="U418" s="13" t="s">
        <v>52</v>
      </c>
      <c r="V418" s="13" t="s">
        <v>45</v>
      </c>
      <c r="W418" s="12">
        <v>10</v>
      </c>
      <c r="X418" s="33" t="str">
        <f>HYPERLINK("https://www.alpinabook.ru/catalog/book-perestan-rabotat-i-nachni-zarabatyvat","ссылка на книгу")</f>
        <v>ссылка на книгу</v>
      </c>
      <c r="Y418" s="34" t="str">
        <f>HYPERLINK("https://api-enni.alpina.ru/FilePrivilegesApproval/325","https://api-enni.alpina.ru/FilePrivilegesApproval/325")</f>
        <v>https://api-enni.alpina.ru/FilePrivilegesApproval/325</v>
      </c>
      <c r="Z418" s="13"/>
      <c r="AT418" s="1">
        <f t="shared" si="45"/>
        <v>0</v>
      </c>
      <c r="AU418" s="1">
        <f t="shared" si="46"/>
        <v>0</v>
      </c>
      <c r="AV418" s="1">
        <f t="shared" si="47"/>
        <v>0</v>
      </c>
      <c r="AW418" s="1">
        <f t="shared" si="48"/>
        <v>0</v>
      </c>
      <c r="AX418" s="1">
        <f t="shared" si="49"/>
        <v>0</v>
      </c>
    </row>
    <row r="419" spans="1:50" s="1" customFormat="1" ht="24.95" customHeight="1" outlineLevel="3" x14ac:dyDescent="0.2">
      <c r="A419" s="11"/>
      <c r="B419" s="12">
        <v>340</v>
      </c>
      <c r="C419" s="12">
        <v>540</v>
      </c>
      <c r="D419" s="12">
        <v>31693</v>
      </c>
      <c r="E419" s="13" t="s">
        <v>1402</v>
      </c>
      <c r="F419" s="13" t="s">
        <v>1403</v>
      </c>
      <c r="G419" s="13" t="s">
        <v>56</v>
      </c>
      <c r="H419" s="13" t="s">
        <v>40</v>
      </c>
      <c r="I419" s="12">
        <v>2024</v>
      </c>
      <c r="J419" s="13" t="s">
        <v>1404</v>
      </c>
      <c r="K419" s="12">
        <v>9785961499933</v>
      </c>
      <c r="L419" s="13" t="s">
        <v>1405</v>
      </c>
      <c r="M419" s="12">
        <v>264</v>
      </c>
      <c r="N419" s="14">
        <v>0.18</v>
      </c>
      <c r="O419" s="12">
        <v>120</v>
      </c>
      <c r="P419" s="12">
        <v>170</v>
      </c>
      <c r="Q419" s="12">
        <v>40</v>
      </c>
      <c r="R419" s="13" t="s">
        <v>75</v>
      </c>
      <c r="S419" s="13" t="s">
        <v>253</v>
      </c>
      <c r="T419" s="15">
        <v>2000</v>
      </c>
      <c r="U419" s="13" t="s">
        <v>44</v>
      </c>
      <c r="V419" s="13" t="s">
        <v>64</v>
      </c>
      <c r="W419" s="12">
        <v>10</v>
      </c>
      <c r="X419" s="33" t="str">
        <f>HYPERLINK("https://www.alpinabook.ru/catalog/book-pobedi-prokrastinatsiyu","ссылка на книгу")</f>
        <v>ссылка на книгу</v>
      </c>
      <c r="Y419" s="34" t="str">
        <f>HYPERLINK("https://api-enni.alpina.ru/FilePrivilegesApproval/713","https://api-enni.alpina.ru/FilePrivilegesApproval/713")</f>
        <v>https://api-enni.alpina.ru/FilePrivilegesApproval/713</v>
      </c>
      <c r="Z419" s="13" t="s">
        <v>1406</v>
      </c>
      <c r="AT419" s="1">
        <f t="shared" si="45"/>
        <v>0</v>
      </c>
      <c r="AU419" s="1">
        <f t="shared" si="46"/>
        <v>0</v>
      </c>
      <c r="AV419" s="1">
        <f t="shared" si="47"/>
        <v>0</v>
      </c>
      <c r="AW419" s="1">
        <f t="shared" si="48"/>
        <v>0</v>
      </c>
      <c r="AX419" s="1">
        <f t="shared" si="49"/>
        <v>0</v>
      </c>
    </row>
    <row r="420" spans="1:50" s="1" customFormat="1" ht="24.95" customHeight="1" outlineLevel="3" x14ac:dyDescent="0.2">
      <c r="A420" s="11"/>
      <c r="B420" s="12">
        <v>540</v>
      </c>
      <c r="C420" s="12">
        <v>790</v>
      </c>
      <c r="D420" s="12">
        <v>12180</v>
      </c>
      <c r="E420" s="13" t="s">
        <v>1289</v>
      </c>
      <c r="F420" s="13" t="s">
        <v>1407</v>
      </c>
      <c r="G420" s="13" t="s">
        <v>56</v>
      </c>
      <c r="H420" s="13"/>
      <c r="I420" s="12">
        <v>2025</v>
      </c>
      <c r="J420" s="13" t="s">
        <v>1408</v>
      </c>
      <c r="K420" s="12">
        <v>9785961428346</v>
      </c>
      <c r="L420" s="13" t="s">
        <v>1409</v>
      </c>
      <c r="M420" s="12">
        <v>208</v>
      </c>
      <c r="N420" s="14">
        <v>0.41</v>
      </c>
      <c r="O420" s="12">
        <v>146</v>
      </c>
      <c r="P420" s="12">
        <v>216</v>
      </c>
      <c r="Q420" s="12">
        <v>12</v>
      </c>
      <c r="R420" s="13" t="s">
        <v>43</v>
      </c>
      <c r="S420" s="13"/>
      <c r="T420" s="15">
        <v>4000</v>
      </c>
      <c r="U420" s="13" t="s">
        <v>52</v>
      </c>
      <c r="V420" s="13" t="s">
        <v>45</v>
      </c>
      <c r="W420" s="12">
        <v>10</v>
      </c>
      <c r="X420" s="33" t="str">
        <f>HYPERLINK("https://www.alpinabook.ru/catalog/book-pogruzhenie-v-sebya","ссылка на книгу")</f>
        <v>ссылка на книгу</v>
      </c>
      <c r="Y420" s="34" t="str">
        <f>HYPERLINK("https://api-enni.alpina.ru/FilePrivilegesApproval/119","https://api-enni.alpina.ru/FilePrivilegesApproval/119")</f>
        <v>https://api-enni.alpina.ru/FilePrivilegesApproval/119</v>
      </c>
      <c r="Z420" s="13"/>
      <c r="AT420" s="1">
        <f t="shared" si="45"/>
        <v>0</v>
      </c>
      <c r="AU420" s="1">
        <f t="shared" si="46"/>
        <v>0</v>
      </c>
      <c r="AV420" s="1">
        <f t="shared" si="47"/>
        <v>0</v>
      </c>
      <c r="AW420" s="1">
        <f t="shared" si="48"/>
        <v>0</v>
      </c>
      <c r="AX420" s="1">
        <f t="shared" si="49"/>
        <v>0</v>
      </c>
    </row>
    <row r="421" spans="1:50" s="1" customFormat="1" ht="24.95" customHeight="1" outlineLevel="3" x14ac:dyDescent="0.2">
      <c r="A421" s="11"/>
      <c r="B421" s="12">
        <v>340</v>
      </c>
      <c r="C421" s="12">
        <v>540</v>
      </c>
      <c r="D421" s="12">
        <v>27883</v>
      </c>
      <c r="E421" s="13" t="s">
        <v>870</v>
      </c>
      <c r="F421" s="13" t="s">
        <v>1410</v>
      </c>
      <c r="G421" s="13" t="s">
        <v>56</v>
      </c>
      <c r="H421" s="13" t="s">
        <v>40</v>
      </c>
      <c r="I421" s="12">
        <v>2025</v>
      </c>
      <c r="J421" s="13" t="s">
        <v>1411</v>
      </c>
      <c r="K421" s="12">
        <v>9785961486636</v>
      </c>
      <c r="L421" s="13" t="s">
        <v>1412</v>
      </c>
      <c r="M421" s="12">
        <v>442</v>
      </c>
      <c r="N421" s="14">
        <v>0.28999999999999998</v>
      </c>
      <c r="O421" s="12">
        <v>120</v>
      </c>
      <c r="P421" s="12">
        <v>170</v>
      </c>
      <c r="Q421" s="12">
        <v>24</v>
      </c>
      <c r="R421" s="13" t="s">
        <v>75</v>
      </c>
      <c r="S421" s="13" t="s">
        <v>76</v>
      </c>
      <c r="T421" s="15">
        <v>2000</v>
      </c>
      <c r="U421" s="13" t="s">
        <v>44</v>
      </c>
      <c r="V421" s="13" t="s">
        <v>45</v>
      </c>
      <c r="W421" s="12">
        <v>10</v>
      </c>
      <c r="X421" s="33" t="str">
        <f>HYPERLINK("https://www.alpinabook.ru/catalog/book-pozitivnaya-irratsionalnost","ссылка на книгу")</f>
        <v>ссылка на книгу</v>
      </c>
      <c r="Y421" s="34" t="str">
        <f>HYPERLINK("https://api-enni.alpina.ru/FilePrivilegesApproval/221","https://api-enni.alpina.ru/FilePrivilegesApproval/221")</f>
        <v>https://api-enni.alpina.ru/FilePrivilegesApproval/221</v>
      </c>
      <c r="Z421" s="13" t="s">
        <v>1413</v>
      </c>
      <c r="AT421" s="1">
        <f t="shared" si="45"/>
        <v>0</v>
      </c>
      <c r="AU421" s="1">
        <f t="shared" si="46"/>
        <v>0</v>
      </c>
      <c r="AV421" s="1">
        <f t="shared" si="47"/>
        <v>0</v>
      </c>
      <c r="AW421" s="1">
        <f t="shared" si="48"/>
        <v>0</v>
      </c>
      <c r="AX421" s="1">
        <f t="shared" si="49"/>
        <v>0</v>
      </c>
    </row>
    <row r="422" spans="1:50" s="1" customFormat="1" ht="24.95" customHeight="1" outlineLevel="3" x14ac:dyDescent="0.2">
      <c r="A422" s="11"/>
      <c r="B422" s="12">
        <v>590</v>
      </c>
      <c r="C422" s="12">
        <v>840</v>
      </c>
      <c r="D422" s="12">
        <v>23666</v>
      </c>
      <c r="E422" s="13" t="s">
        <v>653</v>
      </c>
      <c r="F422" s="13" t="s">
        <v>654</v>
      </c>
      <c r="G422" s="13" t="s">
        <v>56</v>
      </c>
      <c r="H422" s="13"/>
      <c r="I422" s="12">
        <v>2025</v>
      </c>
      <c r="J422" s="13" t="s">
        <v>655</v>
      </c>
      <c r="K422" s="12">
        <v>9785961473094</v>
      </c>
      <c r="L422" s="13" t="s">
        <v>656</v>
      </c>
      <c r="M422" s="12">
        <v>192</v>
      </c>
      <c r="N422" s="14">
        <v>0.36</v>
      </c>
      <c r="O422" s="12">
        <v>160</v>
      </c>
      <c r="P422" s="12">
        <v>220</v>
      </c>
      <c r="Q422" s="12">
        <v>10</v>
      </c>
      <c r="R422" s="13" t="s">
        <v>100</v>
      </c>
      <c r="S422" s="13"/>
      <c r="T422" s="15">
        <v>2000</v>
      </c>
      <c r="U422" s="13" t="s">
        <v>44</v>
      </c>
      <c r="V422" s="13" t="s">
        <v>59</v>
      </c>
      <c r="W422" s="12">
        <v>10</v>
      </c>
      <c r="X422" s="33" t="str">
        <f>HYPERLINK("https://www.alpinabook.ru/catalog/book-poleznaya-samorefleksiya","ссылка на книгу")</f>
        <v>ссылка на книгу</v>
      </c>
      <c r="Y422" s="34" t="str">
        <f>HYPERLINK("https://api-enni.alpina.ru/FilePrivilegesApproval/156","https://api-enni.alpina.ru/FilePrivilegesApproval/156")</f>
        <v>https://api-enni.alpina.ru/FilePrivilegesApproval/156</v>
      </c>
      <c r="Z422" s="13" t="s">
        <v>53</v>
      </c>
      <c r="AT422" s="1">
        <f t="shared" si="45"/>
        <v>0</v>
      </c>
      <c r="AU422" s="1">
        <f t="shared" si="46"/>
        <v>0</v>
      </c>
      <c r="AV422" s="1">
        <f t="shared" si="47"/>
        <v>0</v>
      </c>
      <c r="AW422" s="1">
        <f t="shared" si="48"/>
        <v>0</v>
      </c>
      <c r="AX422" s="1">
        <f t="shared" si="49"/>
        <v>0</v>
      </c>
    </row>
    <row r="423" spans="1:50" s="1" customFormat="1" ht="24.95" customHeight="1" outlineLevel="3" x14ac:dyDescent="0.2">
      <c r="A423" s="11"/>
      <c r="B423" s="12">
        <v>290</v>
      </c>
      <c r="C423" s="12">
        <v>440</v>
      </c>
      <c r="D423" s="12">
        <v>30694</v>
      </c>
      <c r="E423" s="13" t="s">
        <v>657</v>
      </c>
      <c r="F423" s="13" t="s">
        <v>658</v>
      </c>
      <c r="G423" s="13" t="s">
        <v>56</v>
      </c>
      <c r="H423" s="13" t="s">
        <v>40</v>
      </c>
      <c r="I423" s="12">
        <v>2025</v>
      </c>
      <c r="J423" s="13" t="s">
        <v>659</v>
      </c>
      <c r="K423" s="12">
        <v>9785961496185</v>
      </c>
      <c r="L423" s="13" t="s">
        <v>660</v>
      </c>
      <c r="M423" s="12">
        <v>506</v>
      </c>
      <c r="N423" s="14">
        <v>0.33</v>
      </c>
      <c r="O423" s="12">
        <v>120</v>
      </c>
      <c r="P423" s="12">
        <v>170</v>
      </c>
      <c r="Q423" s="12">
        <v>12</v>
      </c>
      <c r="R423" s="13" t="s">
        <v>75</v>
      </c>
      <c r="S423" s="13"/>
      <c r="T423" s="15">
        <v>2000</v>
      </c>
      <c r="U423" s="13" t="s">
        <v>44</v>
      </c>
      <c r="V423" s="13" t="s">
        <v>64</v>
      </c>
      <c r="W423" s="12">
        <v>10</v>
      </c>
      <c r="X423" s="33" t="str">
        <f>HYPERLINK("https://www.alpinabook.ru/catalog/book-polnyy-poryadok","ссылка на книгу")</f>
        <v>ссылка на книгу</v>
      </c>
      <c r="Y423" s="34" t="str">
        <f>HYPERLINK("https://api-enni.alpina.ru/FilePrivilegesApproval/405","https://api-enni.alpina.ru/FilePrivilegesApproval/405")</f>
        <v>https://api-enni.alpina.ru/FilePrivilegesApproval/405</v>
      </c>
      <c r="Z423" s="13" t="s">
        <v>661</v>
      </c>
      <c r="AT423" s="1">
        <f t="shared" si="45"/>
        <v>0</v>
      </c>
      <c r="AU423" s="1">
        <f t="shared" si="46"/>
        <v>0</v>
      </c>
      <c r="AV423" s="1">
        <f t="shared" si="47"/>
        <v>0</v>
      </c>
      <c r="AW423" s="1">
        <f t="shared" si="48"/>
        <v>0</v>
      </c>
      <c r="AX423" s="1">
        <f t="shared" si="49"/>
        <v>0</v>
      </c>
    </row>
    <row r="424" spans="1:50" s="1" customFormat="1" ht="24.95" customHeight="1" outlineLevel="3" x14ac:dyDescent="0.2">
      <c r="A424" s="11"/>
      <c r="B424" s="12">
        <v>390</v>
      </c>
      <c r="C424" s="12">
        <v>640</v>
      </c>
      <c r="D424" s="12">
        <v>28131</v>
      </c>
      <c r="E424" s="13" t="s">
        <v>1414</v>
      </c>
      <c r="F424" s="13" t="s">
        <v>1415</v>
      </c>
      <c r="G424" s="13" t="s">
        <v>56</v>
      </c>
      <c r="H424" s="13" t="s">
        <v>40</v>
      </c>
      <c r="I424" s="12">
        <v>2025</v>
      </c>
      <c r="J424" s="13" t="s">
        <v>1416</v>
      </c>
      <c r="K424" s="12">
        <v>9785961487367</v>
      </c>
      <c r="L424" s="13" t="s">
        <v>1417</v>
      </c>
      <c r="M424" s="12">
        <v>228</v>
      </c>
      <c r="N424" s="14">
        <v>0.28000000000000003</v>
      </c>
      <c r="O424" s="12">
        <v>140</v>
      </c>
      <c r="P424" s="12">
        <v>210</v>
      </c>
      <c r="Q424" s="12">
        <v>10</v>
      </c>
      <c r="R424" s="13" t="s">
        <v>43</v>
      </c>
      <c r="S424" s="13"/>
      <c r="T424" s="15">
        <v>1000</v>
      </c>
      <c r="U424" s="13" t="s">
        <v>44</v>
      </c>
      <c r="V424" s="13" t="s">
        <v>59</v>
      </c>
      <c r="W424" s="12">
        <v>10</v>
      </c>
      <c r="X424" s="33" t="str">
        <f>HYPERLINK("https://www.alpinabook.ru/catalog/book-ponravitsya-za-90-sekund","ссылка на книгу")</f>
        <v>ссылка на книгу</v>
      </c>
      <c r="Y424" s="34" t="str">
        <f>HYPERLINK("https://api-enni.alpina.ru/FilePrivilegesApproval/321","https://api-enni.alpina.ru/FilePrivilegesApproval/321")</f>
        <v>https://api-enni.alpina.ru/FilePrivilegesApproval/321</v>
      </c>
      <c r="Z424" s="13" t="s">
        <v>1222</v>
      </c>
      <c r="AT424" s="1">
        <f t="shared" si="45"/>
        <v>0</v>
      </c>
      <c r="AU424" s="1">
        <f t="shared" si="46"/>
        <v>0</v>
      </c>
      <c r="AV424" s="1">
        <f t="shared" si="47"/>
        <v>0</v>
      </c>
      <c r="AW424" s="1">
        <f t="shared" si="48"/>
        <v>0</v>
      </c>
      <c r="AX424" s="1">
        <f t="shared" si="49"/>
        <v>0</v>
      </c>
    </row>
    <row r="425" spans="1:50" s="1" customFormat="1" ht="24.95" customHeight="1" outlineLevel="3" x14ac:dyDescent="0.2">
      <c r="A425" s="11"/>
      <c r="B425" s="12">
        <v>490</v>
      </c>
      <c r="C425" s="12">
        <v>740</v>
      </c>
      <c r="D425" s="12">
        <v>31150</v>
      </c>
      <c r="E425" s="13" t="s">
        <v>1418</v>
      </c>
      <c r="F425" s="13" t="s">
        <v>1419</v>
      </c>
      <c r="G425" s="13" t="s">
        <v>56</v>
      </c>
      <c r="H425" s="13"/>
      <c r="I425" s="12">
        <v>2025</v>
      </c>
      <c r="J425" s="13" t="s">
        <v>1420</v>
      </c>
      <c r="K425" s="12">
        <v>9785961497687</v>
      </c>
      <c r="L425" s="13" t="s">
        <v>1421</v>
      </c>
      <c r="M425" s="12">
        <v>364</v>
      </c>
      <c r="N425" s="14">
        <v>0.54</v>
      </c>
      <c r="O425" s="12">
        <v>150</v>
      </c>
      <c r="P425" s="12">
        <v>220</v>
      </c>
      <c r="Q425" s="12">
        <v>12</v>
      </c>
      <c r="R425" s="13" t="s">
        <v>43</v>
      </c>
      <c r="S425" s="13"/>
      <c r="T425" s="15">
        <v>2000</v>
      </c>
      <c r="U425" s="13" t="s">
        <v>52</v>
      </c>
      <c r="V425" s="13" t="s">
        <v>45</v>
      </c>
      <c r="W425" s="12">
        <v>10</v>
      </c>
      <c r="X425" s="33" t="str">
        <f>HYPERLINK("https://www.alpinabook.ru/catalog/book-ponyat-sebya-i-drugikh","ссылка на книгу")</f>
        <v>ссылка на книгу</v>
      </c>
      <c r="Y425" s="34" t="str">
        <f>HYPERLINK("https://api-enni.alpina.ru/FilePrivilegesApproval/771","https://api-enni.alpina.ru/FilePrivilegesApproval/771")</f>
        <v>https://api-enni.alpina.ru/FilePrivilegesApproval/771</v>
      </c>
      <c r="Z425" s="13" t="s">
        <v>1422</v>
      </c>
      <c r="AT425" s="1">
        <f t="shared" si="45"/>
        <v>0</v>
      </c>
      <c r="AU425" s="1">
        <f t="shared" si="46"/>
        <v>0</v>
      </c>
      <c r="AV425" s="1">
        <f t="shared" si="47"/>
        <v>0</v>
      </c>
      <c r="AW425" s="1">
        <f t="shared" si="48"/>
        <v>0</v>
      </c>
      <c r="AX425" s="1">
        <f t="shared" si="49"/>
        <v>0</v>
      </c>
    </row>
    <row r="426" spans="1:50" s="1" customFormat="1" ht="24.95" customHeight="1" outlineLevel="3" x14ac:dyDescent="0.2">
      <c r="A426" s="11"/>
      <c r="B426" s="12">
        <v>590</v>
      </c>
      <c r="C426" s="12">
        <v>840</v>
      </c>
      <c r="D426" s="12">
        <v>27868</v>
      </c>
      <c r="E426" s="13" t="s">
        <v>1423</v>
      </c>
      <c r="F426" s="13" t="s">
        <v>1424</v>
      </c>
      <c r="G426" s="13" t="s">
        <v>56</v>
      </c>
      <c r="H426" s="13" t="s">
        <v>200</v>
      </c>
      <c r="I426" s="12">
        <v>2024</v>
      </c>
      <c r="J426" s="13" t="s">
        <v>1425</v>
      </c>
      <c r="K426" s="12">
        <v>9785961486605</v>
      </c>
      <c r="L426" s="13" t="s">
        <v>1426</v>
      </c>
      <c r="M426" s="12">
        <v>230</v>
      </c>
      <c r="N426" s="14">
        <v>0.23</v>
      </c>
      <c r="O426" s="12">
        <v>140</v>
      </c>
      <c r="P426" s="12">
        <v>210</v>
      </c>
      <c r="Q426" s="12">
        <v>14</v>
      </c>
      <c r="R426" s="13" t="s">
        <v>43</v>
      </c>
      <c r="S426" s="13"/>
      <c r="T426" s="15">
        <v>2000</v>
      </c>
      <c r="U426" s="13" t="s">
        <v>44</v>
      </c>
      <c r="V426" s="13" t="s">
        <v>45</v>
      </c>
      <c r="W426" s="12">
        <v>10</v>
      </c>
      <c r="X426" s="33" t="str">
        <f>HYPERLINK("https://www.alpinabook.ru/catalog/book-pochemu-my-ssorimsya-s-lyubimymi","ссылка на книгу")</f>
        <v>ссылка на книгу</v>
      </c>
      <c r="Y426" s="34" t="str">
        <f>HYPERLINK("https://api-enni.alpina.ru/FilePrivilegesApproval/376","https://api-enni.alpina.ru/FilePrivilegesApproval/376")</f>
        <v>https://api-enni.alpina.ru/FilePrivilegesApproval/376</v>
      </c>
      <c r="Z426" s="13"/>
      <c r="AT426" s="1">
        <f t="shared" si="45"/>
        <v>0</v>
      </c>
      <c r="AU426" s="1">
        <f t="shared" si="46"/>
        <v>0</v>
      </c>
      <c r="AV426" s="1">
        <f t="shared" si="47"/>
        <v>0</v>
      </c>
      <c r="AW426" s="1">
        <f t="shared" si="48"/>
        <v>0</v>
      </c>
      <c r="AX426" s="1">
        <f t="shared" si="49"/>
        <v>0</v>
      </c>
    </row>
    <row r="427" spans="1:50" s="1" customFormat="1" ht="24.95" customHeight="1" outlineLevel="3" x14ac:dyDescent="0.2">
      <c r="A427" s="11"/>
      <c r="B427" s="12">
        <v>690</v>
      </c>
      <c r="C427" s="12">
        <v>990</v>
      </c>
      <c r="D427" s="12">
        <v>3727</v>
      </c>
      <c r="E427" s="13" t="s">
        <v>1427</v>
      </c>
      <c r="F427" s="13" t="s">
        <v>1428</v>
      </c>
      <c r="G427" s="13" t="s">
        <v>56</v>
      </c>
      <c r="H427" s="13" t="s">
        <v>40</v>
      </c>
      <c r="I427" s="12">
        <v>2025</v>
      </c>
      <c r="J427" s="13" t="s">
        <v>1429</v>
      </c>
      <c r="K427" s="12">
        <v>9785961451610</v>
      </c>
      <c r="L427" s="13" t="s">
        <v>1430</v>
      </c>
      <c r="M427" s="12">
        <v>360</v>
      </c>
      <c r="N427" s="14">
        <v>0.52</v>
      </c>
      <c r="O427" s="12">
        <v>146</v>
      </c>
      <c r="P427" s="12">
        <v>216</v>
      </c>
      <c r="Q427" s="12">
        <v>10</v>
      </c>
      <c r="R427" s="13" t="s">
        <v>43</v>
      </c>
      <c r="S427" s="13"/>
      <c r="T427" s="15">
        <v>2000</v>
      </c>
      <c r="U427" s="13" t="s">
        <v>52</v>
      </c>
      <c r="V427" s="13" t="s">
        <v>64</v>
      </c>
      <c r="W427" s="12">
        <v>10</v>
      </c>
      <c r="X427" s="33" t="str">
        <f>HYPERLINK("https://www.alpinabook.ru/catalog/book-pochemu-my-takie","ссылка на книгу")</f>
        <v>ссылка на книгу</v>
      </c>
      <c r="Y427" s="34" t="str">
        <f>HYPERLINK("https://api-enni.alpina.ru/FilePrivilegesApproval/152","https://api-enni.alpina.ru/FilePrivilegesApproval/152")</f>
        <v>https://api-enni.alpina.ru/FilePrivilegesApproval/152</v>
      </c>
      <c r="Z427" s="13" t="s">
        <v>1431</v>
      </c>
      <c r="AT427" s="1">
        <f t="shared" ref="AT427:AT490" si="50">IF($A427&lt;&gt;0,1,0)</f>
        <v>0</v>
      </c>
      <c r="AU427" s="1">
        <f t="shared" ref="AU427:AU490" si="51">$A427*$B427</f>
        <v>0</v>
      </c>
      <c r="AV427" s="1">
        <f t="shared" ref="AV427:AV490" si="52">$A427*$N427</f>
        <v>0</v>
      </c>
      <c r="AW427" s="1">
        <f t="shared" ref="AW427:AW490" si="53">IF($Q427=0,0,INT($A427/$Q427))</f>
        <v>0</v>
      </c>
      <c r="AX427" s="1">
        <f t="shared" ref="AX427:AX490" si="54">$A427-$AW427*$Q427</f>
        <v>0</v>
      </c>
    </row>
    <row r="428" spans="1:50" s="1" customFormat="1" ht="24.95" customHeight="1" outlineLevel="3" x14ac:dyDescent="0.2">
      <c r="A428" s="11"/>
      <c r="B428" s="12">
        <v>640</v>
      </c>
      <c r="C428" s="12">
        <v>940</v>
      </c>
      <c r="D428" s="12">
        <v>24193</v>
      </c>
      <c r="E428" s="13" t="s">
        <v>1432</v>
      </c>
      <c r="F428" s="13" t="s">
        <v>1433</v>
      </c>
      <c r="G428" s="13" t="s">
        <v>56</v>
      </c>
      <c r="H428" s="13"/>
      <c r="I428" s="12">
        <v>2025</v>
      </c>
      <c r="J428" s="13" t="s">
        <v>1434</v>
      </c>
      <c r="K428" s="12">
        <v>9785961481372</v>
      </c>
      <c r="L428" s="13" t="s">
        <v>1435</v>
      </c>
      <c r="M428" s="12">
        <v>236</v>
      </c>
      <c r="N428" s="14">
        <v>0.4</v>
      </c>
      <c r="O428" s="12">
        <v>150</v>
      </c>
      <c r="P428" s="12">
        <v>220</v>
      </c>
      <c r="Q428" s="12">
        <v>16</v>
      </c>
      <c r="R428" s="13" t="s">
        <v>43</v>
      </c>
      <c r="S428" s="13"/>
      <c r="T428" s="15">
        <v>4000</v>
      </c>
      <c r="U428" s="13" t="s">
        <v>52</v>
      </c>
      <c r="V428" s="13" t="s">
        <v>59</v>
      </c>
      <c r="W428" s="12">
        <v>10</v>
      </c>
      <c r="X428" s="33" t="str">
        <f>HYPERLINK("https://www.alpinabook.ru/catalog/book-pochemu-ya-ne-khudeyu","ссылка на книгу")</f>
        <v>ссылка на книгу</v>
      </c>
      <c r="Y428" s="34" t="str">
        <f>HYPERLINK("https://api-enni.alpina.ru/FilePrivilegesApproval/200","https://api-enni.alpina.ru/FilePrivilegesApproval/200")</f>
        <v>https://api-enni.alpina.ru/FilePrivilegesApproval/200</v>
      </c>
      <c r="Z428" s="13" t="s">
        <v>567</v>
      </c>
      <c r="AT428" s="1">
        <f t="shared" si="50"/>
        <v>0</v>
      </c>
      <c r="AU428" s="1">
        <f t="shared" si="51"/>
        <v>0</v>
      </c>
      <c r="AV428" s="1">
        <f t="shared" si="52"/>
        <v>0</v>
      </c>
      <c r="AW428" s="1">
        <f t="shared" si="53"/>
        <v>0</v>
      </c>
      <c r="AX428" s="1">
        <f t="shared" si="54"/>
        <v>0</v>
      </c>
    </row>
    <row r="429" spans="1:50" s="1" customFormat="1" ht="24.95" customHeight="1" outlineLevel="3" x14ac:dyDescent="0.2">
      <c r="A429" s="26"/>
      <c r="B429" s="27">
        <v>640</v>
      </c>
      <c r="C429" s="27">
        <v>940</v>
      </c>
      <c r="D429" s="27">
        <v>4953</v>
      </c>
      <c r="E429" s="29" t="s">
        <v>667</v>
      </c>
      <c r="F429" s="29" t="s">
        <v>668</v>
      </c>
      <c r="G429" s="29" t="s">
        <v>56</v>
      </c>
      <c r="H429" s="29" t="s">
        <v>40</v>
      </c>
      <c r="I429" s="27">
        <v>2025</v>
      </c>
      <c r="J429" s="29" t="s">
        <v>669</v>
      </c>
      <c r="K429" s="27">
        <v>9785961461848</v>
      </c>
      <c r="L429" s="29" t="s">
        <v>670</v>
      </c>
      <c r="M429" s="27">
        <v>254</v>
      </c>
      <c r="N429" s="30">
        <v>0.43</v>
      </c>
      <c r="O429" s="27">
        <v>153</v>
      </c>
      <c r="P429" s="27">
        <v>216</v>
      </c>
      <c r="Q429" s="27">
        <v>5</v>
      </c>
      <c r="R429" s="29" t="s">
        <v>43</v>
      </c>
      <c r="S429" s="29"/>
      <c r="T429" s="28">
        <v>1000</v>
      </c>
      <c r="U429" s="29" t="s">
        <v>52</v>
      </c>
      <c r="V429" s="29" t="s">
        <v>64</v>
      </c>
      <c r="W429" s="27">
        <v>10</v>
      </c>
      <c r="X429" s="37" t="str">
        <f>HYPERLINK("https://www.alpinabook.ru/catalog/book-pravila-bogatstva","ссылка на книгу")</f>
        <v>ссылка на книгу</v>
      </c>
      <c r="Y429" s="38" t="str">
        <f>HYPERLINK("https://api-enni.alpina.ru/FilePrivilegesApproval/2","https://api-enni.alpina.ru/FilePrivilegesApproval/2")</f>
        <v>https://api-enni.alpina.ru/FilePrivilegesApproval/2</v>
      </c>
      <c r="Z429" s="29" t="s">
        <v>405</v>
      </c>
      <c r="AT429" s="1">
        <f t="shared" si="50"/>
        <v>0</v>
      </c>
      <c r="AU429" s="1">
        <f t="shared" si="51"/>
        <v>0</v>
      </c>
      <c r="AV429" s="1">
        <f t="shared" si="52"/>
        <v>0</v>
      </c>
      <c r="AW429" s="1">
        <f t="shared" si="53"/>
        <v>0</v>
      </c>
      <c r="AX429" s="1">
        <f t="shared" si="54"/>
        <v>0</v>
      </c>
    </row>
    <row r="430" spans="1:50" s="1" customFormat="1" ht="24.95" customHeight="1" outlineLevel="3" x14ac:dyDescent="0.2">
      <c r="A430" s="11"/>
      <c r="B430" s="12">
        <v>290</v>
      </c>
      <c r="C430" s="12">
        <v>440</v>
      </c>
      <c r="D430" s="12">
        <v>27536</v>
      </c>
      <c r="E430" s="13" t="s">
        <v>667</v>
      </c>
      <c r="F430" s="13" t="s">
        <v>1436</v>
      </c>
      <c r="G430" s="13" t="s">
        <v>86</v>
      </c>
      <c r="H430" s="13" t="s">
        <v>40</v>
      </c>
      <c r="I430" s="12">
        <v>2023</v>
      </c>
      <c r="J430" s="13" t="s">
        <v>1437</v>
      </c>
      <c r="K430" s="12">
        <v>9785001399230</v>
      </c>
      <c r="L430" s="13" t="s">
        <v>1438</v>
      </c>
      <c r="M430" s="12">
        <v>218</v>
      </c>
      <c r="N430" s="14">
        <v>0.15</v>
      </c>
      <c r="O430" s="12">
        <v>120</v>
      </c>
      <c r="P430" s="12">
        <v>170</v>
      </c>
      <c r="Q430" s="12">
        <v>10</v>
      </c>
      <c r="R430" s="13" t="s">
        <v>75</v>
      </c>
      <c r="S430" s="13" t="s">
        <v>1439</v>
      </c>
      <c r="T430" s="15">
        <v>2000</v>
      </c>
      <c r="U430" s="13" t="s">
        <v>44</v>
      </c>
      <c r="V430" s="13" t="s">
        <v>64</v>
      </c>
      <c r="W430" s="12">
        <v>10</v>
      </c>
      <c r="X430" s="33" t="str">
        <f>HYPERLINK("https://www.alpinabook.ru/catalog/book-pravila-dostizheniya-tseli","ссылка на книгу")</f>
        <v>ссылка на книгу</v>
      </c>
      <c r="Y430" s="34" t="str">
        <f>HYPERLINK("https://api-enni.alpina.ru/FilePrivilegesApproval/217","https://api-enni.alpina.ru/FilePrivilegesApproval/217")</f>
        <v>https://api-enni.alpina.ru/FilePrivilegesApproval/217</v>
      </c>
      <c r="Z430" s="13"/>
      <c r="AT430" s="1">
        <f t="shared" si="50"/>
        <v>0</v>
      </c>
      <c r="AU430" s="1">
        <f t="shared" si="51"/>
        <v>0</v>
      </c>
      <c r="AV430" s="1">
        <f t="shared" si="52"/>
        <v>0</v>
      </c>
      <c r="AW430" s="1">
        <f t="shared" si="53"/>
        <v>0</v>
      </c>
      <c r="AX430" s="1">
        <f t="shared" si="54"/>
        <v>0</v>
      </c>
    </row>
    <row r="431" spans="1:50" s="1" customFormat="1" ht="24.95" customHeight="1" outlineLevel="3" x14ac:dyDescent="0.2">
      <c r="A431" s="11"/>
      <c r="B431" s="12">
        <v>640</v>
      </c>
      <c r="C431" s="12">
        <v>940</v>
      </c>
      <c r="D431" s="12">
        <v>6135</v>
      </c>
      <c r="E431" s="13" t="s">
        <v>667</v>
      </c>
      <c r="F431" s="13" t="s">
        <v>671</v>
      </c>
      <c r="G431" s="13" t="s">
        <v>56</v>
      </c>
      <c r="H431" s="13" t="s">
        <v>40</v>
      </c>
      <c r="I431" s="12">
        <v>2025</v>
      </c>
      <c r="J431" s="13" t="s">
        <v>672</v>
      </c>
      <c r="K431" s="12">
        <v>9785961417623</v>
      </c>
      <c r="L431" s="13" t="s">
        <v>673</v>
      </c>
      <c r="M431" s="12">
        <v>234</v>
      </c>
      <c r="N431" s="14">
        <v>0.39</v>
      </c>
      <c r="O431" s="12">
        <v>153</v>
      </c>
      <c r="P431" s="12">
        <v>216</v>
      </c>
      <c r="Q431" s="12">
        <v>5</v>
      </c>
      <c r="R431" s="13" t="s">
        <v>43</v>
      </c>
      <c r="S431" s="13"/>
      <c r="T431" s="15">
        <v>1000</v>
      </c>
      <c r="U431" s="13" t="s">
        <v>52</v>
      </c>
      <c r="V431" s="13" t="s">
        <v>64</v>
      </c>
      <c r="W431" s="12">
        <v>10</v>
      </c>
      <c r="X431" s="33" t="str">
        <f>HYPERLINK("https://www.alpinabook.ru/catalog/book-pravila-zhizni-kak-dobitsya-uspeha","ссылка на книгу")</f>
        <v>ссылка на книгу</v>
      </c>
      <c r="Y431" s="34" t="str">
        <f>HYPERLINK("https://api-enni.alpina.ru/FilePrivilegesApproval/153","https://api-enni.alpina.ru/FilePrivilegesApproval/153")</f>
        <v>https://api-enni.alpina.ru/FilePrivilegesApproval/153</v>
      </c>
      <c r="Z431" s="13" t="s">
        <v>405</v>
      </c>
      <c r="AT431" s="1">
        <f t="shared" si="50"/>
        <v>0</v>
      </c>
      <c r="AU431" s="1">
        <f t="shared" si="51"/>
        <v>0</v>
      </c>
      <c r="AV431" s="1">
        <f t="shared" si="52"/>
        <v>0</v>
      </c>
      <c r="AW431" s="1">
        <f t="shared" si="53"/>
        <v>0</v>
      </c>
      <c r="AX431" s="1">
        <f t="shared" si="54"/>
        <v>0</v>
      </c>
    </row>
    <row r="432" spans="1:50" s="1" customFormat="1" ht="24.95" customHeight="1" outlineLevel="3" x14ac:dyDescent="0.2">
      <c r="A432" s="11"/>
      <c r="B432" s="12">
        <v>340</v>
      </c>
      <c r="C432" s="12">
        <v>540</v>
      </c>
      <c r="D432" s="12">
        <v>27547</v>
      </c>
      <c r="E432" s="13" t="s">
        <v>667</v>
      </c>
      <c r="F432" s="13" t="s">
        <v>1440</v>
      </c>
      <c r="G432" s="13" t="s">
        <v>56</v>
      </c>
      <c r="H432" s="13" t="s">
        <v>40</v>
      </c>
      <c r="I432" s="12">
        <v>2023</v>
      </c>
      <c r="J432" s="13" t="s">
        <v>1441</v>
      </c>
      <c r="K432" s="12">
        <v>9785961485561</v>
      </c>
      <c r="L432" s="13" t="s">
        <v>1442</v>
      </c>
      <c r="M432" s="12">
        <v>318</v>
      </c>
      <c r="N432" s="14">
        <v>0.21</v>
      </c>
      <c r="O432" s="12">
        <v>120</v>
      </c>
      <c r="P432" s="12">
        <v>170</v>
      </c>
      <c r="Q432" s="12">
        <v>10</v>
      </c>
      <c r="R432" s="13" t="s">
        <v>75</v>
      </c>
      <c r="S432" s="13" t="s">
        <v>1439</v>
      </c>
      <c r="T432" s="15">
        <v>2000</v>
      </c>
      <c r="U432" s="13" t="s">
        <v>44</v>
      </c>
      <c r="V432" s="13" t="s">
        <v>64</v>
      </c>
      <c r="W432" s="12">
        <v>10</v>
      </c>
      <c r="X432" s="33" t="str">
        <f>HYPERLINK("https://www.alpinabook.ru/catalog/book-pravila-karery","ссылка на книгу")</f>
        <v>ссылка на книгу</v>
      </c>
      <c r="Y432" s="34" t="str">
        <f>HYPERLINK("https://api-enni.alpina.ru/FilePrivilegesApproval/202","https://api-enni.alpina.ru/FilePrivilegesApproval/202")</f>
        <v>https://api-enni.alpina.ru/FilePrivilegesApproval/202</v>
      </c>
      <c r="Z432" s="13"/>
      <c r="AT432" s="1">
        <f t="shared" si="50"/>
        <v>0</v>
      </c>
      <c r="AU432" s="1">
        <f t="shared" si="51"/>
        <v>0</v>
      </c>
      <c r="AV432" s="1">
        <f t="shared" si="52"/>
        <v>0</v>
      </c>
      <c r="AW432" s="1">
        <f t="shared" si="53"/>
        <v>0</v>
      </c>
      <c r="AX432" s="1">
        <f t="shared" si="54"/>
        <v>0</v>
      </c>
    </row>
    <row r="433" spans="1:50" s="1" customFormat="1" ht="24.95" customHeight="1" outlineLevel="3" x14ac:dyDescent="0.2">
      <c r="A433" s="26"/>
      <c r="B433" s="27">
        <v>510</v>
      </c>
      <c r="C433" s="27">
        <v>510</v>
      </c>
      <c r="D433" s="27">
        <v>23372</v>
      </c>
      <c r="E433" s="29" t="s">
        <v>667</v>
      </c>
      <c r="F433" s="29" t="s">
        <v>1443</v>
      </c>
      <c r="G433" s="29" t="s">
        <v>56</v>
      </c>
      <c r="H433" s="29" t="s">
        <v>40</v>
      </c>
      <c r="I433" s="27">
        <v>2022</v>
      </c>
      <c r="J433" s="29" t="s">
        <v>1444</v>
      </c>
      <c r="K433" s="27">
        <v>9785961472318</v>
      </c>
      <c r="L433" s="29" t="s">
        <v>1445</v>
      </c>
      <c r="M433" s="27">
        <v>256</v>
      </c>
      <c r="N433" s="30">
        <v>0.41</v>
      </c>
      <c r="O433" s="27">
        <v>146</v>
      </c>
      <c r="P433" s="27">
        <v>216</v>
      </c>
      <c r="Q433" s="27">
        <v>12</v>
      </c>
      <c r="R433" s="29" t="s">
        <v>43</v>
      </c>
      <c r="S433" s="29"/>
      <c r="T433" s="28">
        <v>2000</v>
      </c>
      <c r="U433" s="29" t="s">
        <v>52</v>
      </c>
      <c r="V433" s="29" t="s">
        <v>64</v>
      </c>
      <c r="W433" s="27">
        <v>10</v>
      </c>
      <c r="X433" s="37" t="str">
        <f>HYPERLINK("https://www.alpinabook.ru/catalog/book-pravila-myshleniya","ссылка на книгу")</f>
        <v>ссылка на книгу</v>
      </c>
      <c r="Y433" s="38" t="str">
        <f>HYPERLINK("https://api-enni.alpina.ru/FilePrivilegesApproval/121","https://api-enni.alpina.ru/FilePrivilegesApproval/121")</f>
        <v>https://api-enni.alpina.ru/FilePrivilegesApproval/121</v>
      </c>
      <c r="Z433" s="29"/>
      <c r="AT433" s="1">
        <f t="shared" si="50"/>
        <v>0</v>
      </c>
      <c r="AU433" s="1">
        <f t="shared" si="51"/>
        <v>0</v>
      </c>
      <c r="AV433" s="1">
        <f t="shared" si="52"/>
        <v>0</v>
      </c>
      <c r="AW433" s="1">
        <f t="shared" si="53"/>
        <v>0</v>
      </c>
      <c r="AX433" s="1">
        <f t="shared" si="54"/>
        <v>0</v>
      </c>
    </row>
    <row r="434" spans="1:50" s="1" customFormat="1" ht="24.95" customHeight="1" outlineLevel="3" x14ac:dyDescent="0.2">
      <c r="A434" s="11"/>
      <c r="B434" s="12">
        <v>340</v>
      </c>
      <c r="C434" s="12">
        <v>540</v>
      </c>
      <c r="D434" s="12">
        <v>27545</v>
      </c>
      <c r="E434" s="13" t="s">
        <v>667</v>
      </c>
      <c r="F434" s="13" t="s">
        <v>1446</v>
      </c>
      <c r="G434" s="13" t="s">
        <v>56</v>
      </c>
      <c r="H434" s="13" t="s">
        <v>40</v>
      </c>
      <c r="I434" s="12">
        <v>2023</v>
      </c>
      <c r="J434" s="13" t="s">
        <v>1447</v>
      </c>
      <c r="K434" s="12">
        <v>9785961485547</v>
      </c>
      <c r="L434" s="13" t="s">
        <v>1448</v>
      </c>
      <c r="M434" s="12">
        <v>346</v>
      </c>
      <c r="N434" s="14">
        <v>0.2</v>
      </c>
      <c r="O434" s="12">
        <v>120</v>
      </c>
      <c r="P434" s="12">
        <v>170</v>
      </c>
      <c r="Q434" s="12">
        <v>9</v>
      </c>
      <c r="R434" s="13" t="s">
        <v>75</v>
      </c>
      <c r="S434" s="13" t="s">
        <v>1439</v>
      </c>
      <c r="T434" s="15">
        <v>2000</v>
      </c>
      <c r="U434" s="13" t="s">
        <v>44</v>
      </c>
      <c r="V434" s="13" t="s">
        <v>64</v>
      </c>
      <c r="W434" s="12">
        <v>10</v>
      </c>
      <c r="X434" s="33" t="str">
        <f>HYPERLINK("https://www.alpinabook.ru/catalog/book-pravila-myshleniya","ссылка на книгу")</f>
        <v>ссылка на книгу</v>
      </c>
      <c r="Y434" s="34" t="str">
        <f>HYPERLINK("https://api-enni.alpina.ru/FilePrivilegesApproval/202","https://api-enni.alpina.ru/FilePrivilegesApproval/202")</f>
        <v>https://api-enni.alpina.ru/FilePrivilegesApproval/202</v>
      </c>
      <c r="Z434" s="13"/>
      <c r="AT434" s="1">
        <f t="shared" si="50"/>
        <v>0</v>
      </c>
      <c r="AU434" s="1">
        <f t="shared" si="51"/>
        <v>0</v>
      </c>
      <c r="AV434" s="1">
        <f t="shared" si="52"/>
        <v>0</v>
      </c>
      <c r="AW434" s="1">
        <f t="shared" si="53"/>
        <v>0</v>
      </c>
      <c r="AX434" s="1">
        <f t="shared" si="54"/>
        <v>0</v>
      </c>
    </row>
    <row r="435" spans="1:50" s="1" customFormat="1" ht="24.95" customHeight="1" outlineLevel="3" x14ac:dyDescent="0.2">
      <c r="A435" s="11"/>
      <c r="B435" s="12">
        <v>590</v>
      </c>
      <c r="C435" s="12">
        <v>590</v>
      </c>
      <c r="D435" s="12">
        <v>11054</v>
      </c>
      <c r="E435" s="13" t="s">
        <v>1449</v>
      </c>
      <c r="F435" s="13" t="s">
        <v>1450</v>
      </c>
      <c r="G435" s="13" t="s">
        <v>56</v>
      </c>
      <c r="H435" s="13" t="s">
        <v>40</v>
      </c>
      <c r="I435" s="12">
        <v>2019</v>
      </c>
      <c r="J435" s="13" t="s">
        <v>1451</v>
      </c>
      <c r="K435" s="12">
        <v>9785961423761</v>
      </c>
      <c r="L435" s="13" t="s">
        <v>1452</v>
      </c>
      <c r="M435" s="12">
        <v>271</v>
      </c>
      <c r="N435" s="14">
        <v>0.55000000000000004</v>
      </c>
      <c r="O435" s="12">
        <v>147</v>
      </c>
      <c r="P435" s="12">
        <v>216</v>
      </c>
      <c r="Q435" s="12">
        <v>6</v>
      </c>
      <c r="R435" s="13" t="s">
        <v>43</v>
      </c>
      <c r="S435" s="13"/>
      <c r="T435" s="15">
        <v>3000</v>
      </c>
      <c r="U435" s="13" t="s">
        <v>268</v>
      </c>
      <c r="V435" s="13" t="s">
        <v>89</v>
      </c>
      <c r="W435" s="12">
        <v>10</v>
      </c>
      <c r="X435" s="33" t="str">
        <f>HYPERLINK("https://www.alpinabook.ru/catalog/book-545140","ссылка на книгу")</f>
        <v>ссылка на книгу</v>
      </c>
      <c r="Y435" s="34" t="str">
        <f>HYPERLINK("https://api-enni.alpina.ru/FilePrivilegesApproval/239","https://api-enni.alpina.ru/FilePrivilegesApproval/239")</f>
        <v>https://api-enni.alpina.ru/FilePrivilegesApproval/239</v>
      </c>
      <c r="Z435" s="13"/>
      <c r="AT435" s="1">
        <f t="shared" si="50"/>
        <v>0</v>
      </c>
      <c r="AU435" s="1">
        <f t="shared" si="51"/>
        <v>0</v>
      </c>
      <c r="AV435" s="1">
        <f t="shared" si="52"/>
        <v>0</v>
      </c>
      <c r="AW435" s="1">
        <f t="shared" si="53"/>
        <v>0</v>
      </c>
      <c r="AX435" s="1">
        <f t="shared" si="54"/>
        <v>0</v>
      </c>
    </row>
    <row r="436" spans="1:50" s="1" customFormat="1" ht="24.95" customHeight="1" outlineLevel="3" x14ac:dyDescent="0.2">
      <c r="A436" s="26"/>
      <c r="B436" s="27">
        <v>340</v>
      </c>
      <c r="C436" s="27">
        <v>540</v>
      </c>
      <c r="D436" s="27">
        <v>27544</v>
      </c>
      <c r="E436" s="29" t="s">
        <v>667</v>
      </c>
      <c r="F436" s="29" t="s">
        <v>1453</v>
      </c>
      <c r="G436" s="29" t="s">
        <v>56</v>
      </c>
      <c r="H436" s="29" t="s">
        <v>40</v>
      </c>
      <c r="I436" s="27">
        <v>2023</v>
      </c>
      <c r="J436" s="29" t="s">
        <v>1454</v>
      </c>
      <c r="K436" s="27">
        <v>9785961485516</v>
      </c>
      <c r="L436" s="29" t="s">
        <v>1455</v>
      </c>
      <c r="M436" s="27">
        <v>283</v>
      </c>
      <c r="N436" s="30">
        <v>0.19</v>
      </c>
      <c r="O436" s="27">
        <v>120</v>
      </c>
      <c r="P436" s="27">
        <v>170</v>
      </c>
      <c r="Q436" s="27">
        <v>10</v>
      </c>
      <c r="R436" s="29" t="s">
        <v>75</v>
      </c>
      <c r="S436" s="29" t="s">
        <v>1439</v>
      </c>
      <c r="T436" s="28">
        <v>2000</v>
      </c>
      <c r="U436" s="29" t="s">
        <v>44</v>
      </c>
      <c r="V436" s="29" t="s">
        <v>64</v>
      </c>
      <c r="W436" s="27">
        <v>10</v>
      </c>
      <c r="X436" s="37" t="str">
        <f>HYPERLINK("https://www.alpinabook.ru/catalog/book-pravila-kotorye-stoit-narushat","ссылка на книгу")</f>
        <v>ссылка на книгу</v>
      </c>
      <c r="Y436" s="38" t="str">
        <f>HYPERLINK("https://api-enni.alpina.ru/FilePrivilegesApproval/202","https://api-enni.alpina.ru/FilePrivilegesApproval/202")</f>
        <v>https://api-enni.alpina.ru/FilePrivilegesApproval/202</v>
      </c>
      <c r="Z436" s="29"/>
      <c r="AT436" s="1">
        <f t="shared" si="50"/>
        <v>0</v>
      </c>
      <c r="AU436" s="1">
        <f t="shared" si="51"/>
        <v>0</v>
      </c>
      <c r="AV436" s="1">
        <f t="shared" si="52"/>
        <v>0</v>
      </c>
      <c r="AW436" s="1">
        <f t="shared" si="53"/>
        <v>0</v>
      </c>
      <c r="AX436" s="1">
        <f t="shared" si="54"/>
        <v>0</v>
      </c>
    </row>
    <row r="437" spans="1:50" s="1" customFormat="1" ht="24.95" customHeight="1" outlineLevel="3" x14ac:dyDescent="0.2">
      <c r="A437" s="11"/>
      <c r="B437" s="12">
        <v>540</v>
      </c>
      <c r="C437" s="12">
        <v>790</v>
      </c>
      <c r="D437" s="12">
        <v>25451</v>
      </c>
      <c r="E437" s="13" t="s">
        <v>1289</v>
      </c>
      <c r="F437" s="13" t="s">
        <v>1456</v>
      </c>
      <c r="G437" s="13" t="s">
        <v>56</v>
      </c>
      <c r="H437" s="13"/>
      <c r="I437" s="12">
        <v>2025</v>
      </c>
      <c r="J437" s="13" t="s">
        <v>1457</v>
      </c>
      <c r="K437" s="12">
        <v>9785961448399</v>
      </c>
      <c r="L437" s="13" t="s">
        <v>1458</v>
      </c>
      <c r="M437" s="12">
        <v>206</v>
      </c>
      <c r="N437" s="14">
        <v>0.42</v>
      </c>
      <c r="O437" s="12">
        <v>150</v>
      </c>
      <c r="P437" s="12">
        <v>220</v>
      </c>
      <c r="Q437" s="12">
        <v>10</v>
      </c>
      <c r="R437" s="13" t="s">
        <v>43</v>
      </c>
      <c r="S437" s="13"/>
      <c r="T437" s="15">
        <v>1000</v>
      </c>
      <c r="U437" s="13" t="s">
        <v>52</v>
      </c>
      <c r="V437" s="13" t="s">
        <v>45</v>
      </c>
      <c r="W437" s="12">
        <v>10</v>
      </c>
      <c r="X437" s="33" t="str">
        <f>HYPERLINK("https://www.alpinabook.ru/catalog/book-privyazannost-i-separatsiya","ссылка на книгу")</f>
        <v>ссылка на книгу</v>
      </c>
      <c r="Y437" s="34" t="str">
        <f>HYPERLINK("https://api-enni.alpina.ru/FilePrivilegesApproval/307","https://api-enni.alpina.ru/FilePrivilegesApproval/307")</f>
        <v>https://api-enni.alpina.ru/FilePrivilegesApproval/307</v>
      </c>
      <c r="Z437" s="13" t="s">
        <v>1222</v>
      </c>
      <c r="AT437" s="1">
        <f t="shared" si="50"/>
        <v>0</v>
      </c>
      <c r="AU437" s="1">
        <f t="shared" si="51"/>
        <v>0</v>
      </c>
      <c r="AV437" s="1">
        <f t="shared" si="52"/>
        <v>0</v>
      </c>
      <c r="AW437" s="1">
        <f t="shared" si="53"/>
        <v>0</v>
      </c>
      <c r="AX437" s="1">
        <f t="shared" si="54"/>
        <v>0</v>
      </c>
    </row>
    <row r="438" spans="1:50" s="1" customFormat="1" ht="24.95" customHeight="1" outlineLevel="3" x14ac:dyDescent="0.2">
      <c r="A438" s="11"/>
      <c r="B438" s="12">
        <v>490</v>
      </c>
      <c r="C438" s="12">
        <v>740</v>
      </c>
      <c r="D438" s="12">
        <v>31677</v>
      </c>
      <c r="E438" s="13" t="s">
        <v>1459</v>
      </c>
      <c r="F438" s="13" t="s">
        <v>1460</v>
      </c>
      <c r="G438" s="13" t="s">
        <v>56</v>
      </c>
      <c r="H438" s="13" t="s">
        <v>40</v>
      </c>
      <c r="I438" s="12">
        <v>2025</v>
      </c>
      <c r="J438" s="13" t="s">
        <v>1461</v>
      </c>
      <c r="K438" s="12">
        <v>9785961499896</v>
      </c>
      <c r="L438" s="13" t="s">
        <v>1462</v>
      </c>
      <c r="M438" s="12">
        <v>182</v>
      </c>
      <c r="N438" s="14">
        <v>0.49</v>
      </c>
      <c r="O438" s="12">
        <v>170</v>
      </c>
      <c r="P438" s="12">
        <v>240</v>
      </c>
      <c r="Q438" s="12">
        <v>9</v>
      </c>
      <c r="R438" s="13" t="s">
        <v>94</v>
      </c>
      <c r="S438" s="13" t="s">
        <v>141</v>
      </c>
      <c r="T438" s="15">
        <v>2000</v>
      </c>
      <c r="U438" s="13" t="s">
        <v>52</v>
      </c>
      <c r="V438" s="13" t="s">
        <v>59</v>
      </c>
      <c r="W438" s="12">
        <v>10</v>
      </c>
      <c r="X438" s="33" t="str">
        <f>HYPERLINK("https://www.alpinabook.ru/catalog/book-prinimay-svoe-telo-i-ego-osobennosti","ссылка на книгу")</f>
        <v>ссылка на книгу</v>
      </c>
      <c r="Y438" s="34" t="str">
        <f>HYPERLINK("https://api-enni.alpina.ru/FilePrivilegesApproval/782","https://api-enni.alpina.ru/FilePrivilegesApproval/782")</f>
        <v>https://api-enni.alpina.ru/FilePrivilegesApproval/782</v>
      </c>
      <c r="Z438" s="13" t="s">
        <v>1350</v>
      </c>
      <c r="AT438" s="1">
        <f t="shared" si="50"/>
        <v>0</v>
      </c>
      <c r="AU438" s="1">
        <f t="shared" si="51"/>
        <v>0</v>
      </c>
      <c r="AV438" s="1">
        <f t="shared" si="52"/>
        <v>0</v>
      </c>
      <c r="AW438" s="1">
        <f t="shared" si="53"/>
        <v>0</v>
      </c>
      <c r="AX438" s="1">
        <f t="shared" si="54"/>
        <v>0</v>
      </c>
    </row>
    <row r="439" spans="1:50" s="1" customFormat="1" ht="24.95" customHeight="1" outlineLevel="3" x14ac:dyDescent="0.2">
      <c r="A439" s="11"/>
      <c r="B439" s="12">
        <v>290</v>
      </c>
      <c r="C439" s="12">
        <v>440</v>
      </c>
      <c r="D439" s="12">
        <v>30841</v>
      </c>
      <c r="E439" s="13" t="s">
        <v>1463</v>
      </c>
      <c r="F439" s="13" t="s">
        <v>1464</v>
      </c>
      <c r="G439" s="13" t="s">
        <v>56</v>
      </c>
      <c r="H439" s="13"/>
      <c r="I439" s="12">
        <v>2024</v>
      </c>
      <c r="J439" s="13" t="s">
        <v>1465</v>
      </c>
      <c r="K439" s="12">
        <v>9785961496734</v>
      </c>
      <c r="L439" s="13" t="s">
        <v>1466</v>
      </c>
      <c r="M439" s="12">
        <v>148</v>
      </c>
      <c r="N439" s="14">
        <v>0.11</v>
      </c>
      <c r="O439" s="12">
        <v>120</v>
      </c>
      <c r="P439" s="12">
        <v>170</v>
      </c>
      <c r="Q439" s="12">
        <v>12</v>
      </c>
      <c r="R439" s="13" t="s">
        <v>75</v>
      </c>
      <c r="S439" s="13" t="s">
        <v>76</v>
      </c>
      <c r="T439" s="15">
        <v>2000</v>
      </c>
      <c r="U439" s="13" t="s">
        <v>44</v>
      </c>
      <c r="V439" s="13" t="s">
        <v>45</v>
      </c>
      <c r="W439" s="12">
        <v>10</v>
      </c>
      <c r="X439" s="33" t="str">
        <f>HYPERLINK("https://www.alpinabook.ru/catalog/book-prinyat-i-perezhit-poteryu","ссылка на книгу")</f>
        <v>ссылка на книгу</v>
      </c>
      <c r="Y439" s="34" t="str">
        <f>HYPERLINK("https://api-enni.alpina.ru/FilePrivilegesApproval/489","https://api-enni.alpina.ru/FilePrivilegesApproval/489")</f>
        <v>https://api-enni.alpina.ru/FilePrivilegesApproval/489</v>
      </c>
      <c r="Z439" s="13"/>
      <c r="AT439" s="1">
        <f t="shared" si="50"/>
        <v>0</v>
      </c>
      <c r="AU439" s="1">
        <f t="shared" si="51"/>
        <v>0</v>
      </c>
      <c r="AV439" s="1">
        <f t="shared" si="52"/>
        <v>0</v>
      </c>
      <c r="AW439" s="1">
        <f t="shared" si="53"/>
        <v>0</v>
      </c>
      <c r="AX439" s="1">
        <f t="shared" si="54"/>
        <v>0</v>
      </c>
    </row>
    <row r="440" spans="1:50" s="1" customFormat="1" ht="24.95" customHeight="1" outlineLevel="3" x14ac:dyDescent="0.2">
      <c r="A440" s="26"/>
      <c r="B440" s="27">
        <v>640</v>
      </c>
      <c r="C440" s="27">
        <v>640</v>
      </c>
      <c r="D440" s="27">
        <v>20914</v>
      </c>
      <c r="E440" s="29" t="s">
        <v>1467</v>
      </c>
      <c r="F440" s="29" t="s">
        <v>1468</v>
      </c>
      <c r="G440" s="29" t="s">
        <v>56</v>
      </c>
      <c r="H440" s="29" t="s">
        <v>40</v>
      </c>
      <c r="I440" s="27">
        <v>2022</v>
      </c>
      <c r="J440" s="29" t="s">
        <v>1469</v>
      </c>
      <c r="K440" s="27">
        <v>9785961441727</v>
      </c>
      <c r="L440" s="29" t="s">
        <v>1470</v>
      </c>
      <c r="M440" s="27">
        <v>376</v>
      </c>
      <c r="N440" s="30">
        <v>0.55000000000000004</v>
      </c>
      <c r="O440" s="27">
        <v>153</v>
      </c>
      <c r="P440" s="27">
        <v>216</v>
      </c>
      <c r="Q440" s="27">
        <v>10</v>
      </c>
      <c r="R440" s="29" t="s">
        <v>43</v>
      </c>
      <c r="S440" s="29"/>
      <c r="T440" s="28">
        <v>1000</v>
      </c>
      <c r="U440" s="29" t="s">
        <v>52</v>
      </c>
      <c r="V440" s="29" t="s">
        <v>45</v>
      </c>
      <c r="W440" s="27">
        <v>10</v>
      </c>
      <c r="X440" s="37" t="str">
        <f>HYPERLINK("https://www.alpinabook.ru/catalog/book-pritselnoe-myshlenie","ссылка на книгу")</f>
        <v>ссылка на книгу</v>
      </c>
      <c r="Y440" s="38" t="str">
        <f>HYPERLINK("https://api-enni.alpina.ru/FilePrivilegesApproval/152","https://api-enni.alpina.ru/FilePrivilegesApproval/152")</f>
        <v>https://api-enni.alpina.ru/FilePrivilegesApproval/152</v>
      </c>
      <c r="Z440" s="29"/>
      <c r="AT440" s="1">
        <f t="shared" si="50"/>
        <v>0</v>
      </c>
      <c r="AU440" s="1">
        <f t="shared" si="51"/>
        <v>0</v>
      </c>
      <c r="AV440" s="1">
        <f t="shared" si="52"/>
        <v>0</v>
      </c>
      <c r="AW440" s="1">
        <f t="shared" si="53"/>
        <v>0</v>
      </c>
      <c r="AX440" s="1">
        <f t="shared" si="54"/>
        <v>0</v>
      </c>
    </row>
    <row r="441" spans="1:50" s="1" customFormat="1" ht="24.95" customHeight="1" outlineLevel="3" x14ac:dyDescent="0.2">
      <c r="A441" s="11"/>
      <c r="B441" s="12">
        <v>340</v>
      </c>
      <c r="C441" s="12">
        <v>540</v>
      </c>
      <c r="D441" s="12">
        <v>31128</v>
      </c>
      <c r="E441" s="13" t="s">
        <v>1467</v>
      </c>
      <c r="F441" s="13" t="s">
        <v>1471</v>
      </c>
      <c r="G441" s="13" t="s">
        <v>56</v>
      </c>
      <c r="H441" s="13" t="s">
        <v>40</v>
      </c>
      <c r="I441" s="12">
        <v>2024</v>
      </c>
      <c r="J441" s="13" t="s">
        <v>1472</v>
      </c>
      <c r="K441" s="12">
        <v>9785961497663</v>
      </c>
      <c r="L441" s="13" t="s">
        <v>1473</v>
      </c>
      <c r="M441" s="12">
        <v>478</v>
      </c>
      <c r="N441" s="14">
        <v>0.31</v>
      </c>
      <c r="O441" s="12">
        <v>120</v>
      </c>
      <c r="P441" s="12">
        <v>170</v>
      </c>
      <c r="Q441" s="12">
        <v>12</v>
      </c>
      <c r="R441" s="13" t="s">
        <v>75</v>
      </c>
      <c r="S441" s="13" t="s">
        <v>253</v>
      </c>
      <c r="T441" s="15">
        <v>2000</v>
      </c>
      <c r="U441" s="13" t="s">
        <v>44</v>
      </c>
      <c r="V441" s="13" t="s">
        <v>45</v>
      </c>
      <c r="W441" s="12">
        <v>10</v>
      </c>
      <c r="X441" s="33" t="str">
        <f>HYPERLINK("https://www.alpinabook.ru/catalog/book-pritselnoe-myshlenie","ссылка на книгу")</f>
        <v>ссылка на книгу</v>
      </c>
      <c r="Y441" s="34" t="str">
        <f>HYPERLINK("https://api-enni.alpina.ru/FilePrivilegesApproval/535","https://api-enni.alpina.ru/FilePrivilegesApproval/535")</f>
        <v>https://api-enni.alpina.ru/FilePrivilegesApproval/535</v>
      </c>
      <c r="Z441" s="13"/>
      <c r="AT441" s="1">
        <f t="shared" si="50"/>
        <v>0</v>
      </c>
      <c r="AU441" s="1">
        <f t="shared" si="51"/>
        <v>0</v>
      </c>
      <c r="AV441" s="1">
        <f t="shared" si="52"/>
        <v>0</v>
      </c>
      <c r="AW441" s="1">
        <f t="shared" si="53"/>
        <v>0</v>
      </c>
      <c r="AX441" s="1">
        <f t="shared" si="54"/>
        <v>0</v>
      </c>
    </row>
    <row r="442" spans="1:50" s="1" customFormat="1" ht="24.95" customHeight="1" outlineLevel="3" x14ac:dyDescent="0.2">
      <c r="A442" s="11"/>
      <c r="B442" s="12">
        <v>340</v>
      </c>
      <c r="C442" s="12">
        <v>540</v>
      </c>
      <c r="D442" s="12">
        <v>29784</v>
      </c>
      <c r="E442" s="13" t="s">
        <v>1474</v>
      </c>
      <c r="F442" s="13" t="s">
        <v>1475</v>
      </c>
      <c r="G442" s="13" t="s">
        <v>56</v>
      </c>
      <c r="H442" s="13" t="s">
        <v>40</v>
      </c>
      <c r="I442" s="12">
        <v>2024</v>
      </c>
      <c r="J442" s="13" t="s">
        <v>1476</v>
      </c>
      <c r="K442" s="12">
        <v>9785961493870</v>
      </c>
      <c r="L442" s="13" t="s">
        <v>1477</v>
      </c>
      <c r="M442" s="12">
        <v>320</v>
      </c>
      <c r="N442" s="14">
        <v>0.21</v>
      </c>
      <c r="O442" s="12">
        <v>120</v>
      </c>
      <c r="P442" s="12">
        <v>170</v>
      </c>
      <c r="Q442" s="12">
        <v>20</v>
      </c>
      <c r="R442" s="13" t="s">
        <v>75</v>
      </c>
      <c r="S442" s="13" t="s">
        <v>253</v>
      </c>
      <c r="T442" s="15">
        <v>2000</v>
      </c>
      <c r="U442" s="13" t="s">
        <v>44</v>
      </c>
      <c r="V442" s="13" t="s">
        <v>59</v>
      </c>
      <c r="W442" s="12">
        <v>10</v>
      </c>
      <c r="X442" s="33" t="str">
        <f>HYPERLINK("https://www.alpinabook.ru/catalog/book-proyti-cherez","ссылка на книгу")</f>
        <v>ссылка на книгу</v>
      </c>
      <c r="Y442" s="34" t="str">
        <f>HYPERLINK("https://api-enni.alpina.ru/FilePrivilegesApproval/121","https://api-enni.alpina.ru/FilePrivilegesApproval/121")</f>
        <v>https://api-enni.alpina.ru/FilePrivilegesApproval/121</v>
      </c>
      <c r="Z442" s="13"/>
      <c r="AT442" s="1">
        <f t="shared" si="50"/>
        <v>0</v>
      </c>
      <c r="AU442" s="1">
        <f t="shared" si="51"/>
        <v>0</v>
      </c>
      <c r="AV442" s="1">
        <f t="shared" si="52"/>
        <v>0</v>
      </c>
      <c r="AW442" s="1">
        <f t="shared" si="53"/>
        <v>0</v>
      </c>
      <c r="AX442" s="1">
        <f t="shared" si="54"/>
        <v>0</v>
      </c>
    </row>
    <row r="443" spans="1:50" s="1" customFormat="1" ht="24.95" customHeight="1" outlineLevel="3" x14ac:dyDescent="0.2">
      <c r="A443" s="11"/>
      <c r="B443" s="12">
        <v>590</v>
      </c>
      <c r="C443" s="12">
        <v>840</v>
      </c>
      <c r="D443" s="12">
        <v>25617</v>
      </c>
      <c r="E443" s="13" t="s">
        <v>1478</v>
      </c>
      <c r="F443" s="13" t="s">
        <v>1479</v>
      </c>
      <c r="G443" s="13" t="s">
        <v>56</v>
      </c>
      <c r="H443" s="13" t="s">
        <v>40</v>
      </c>
      <c r="I443" s="12">
        <v>2024</v>
      </c>
      <c r="J443" s="13" t="s">
        <v>1480</v>
      </c>
      <c r="K443" s="12">
        <v>9785961478471</v>
      </c>
      <c r="L443" s="13" t="s">
        <v>1481</v>
      </c>
      <c r="M443" s="12">
        <v>264</v>
      </c>
      <c r="N443" s="14">
        <v>0.34</v>
      </c>
      <c r="O443" s="12">
        <v>150</v>
      </c>
      <c r="P443" s="12">
        <v>210</v>
      </c>
      <c r="Q443" s="12">
        <v>16</v>
      </c>
      <c r="R443" s="13" t="s">
        <v>43</v>
      </c>
      <c r="S443" s="13"/>
      <c r="T443" s="15">
        <v>1500</v>
      </c>
      <c r="U443" s="13" t="s">
        <v>44</v>
      </c>
      <c r="V443" s="13" t="s">
        <v>64</v>
      </c>
      <c r="W443" s="12">
        <v>10</v>
      </c>
      <c r="X443" s="33" t="str">
        <f>HYPERLINK("https://www.alpinabook.ru/catalog/book-goodbye-things","ссылка на книгу")</f>
        <v>ссылка на книгу</v>
      </c>
      <c r="Y443" s="34" t="str">
        <f>HYPERLINK("https://api-enni.alpina.ru/FilePrivilegesApproval/152","https://api-enni.alpina.ru/FilePrivilegesApproval/152")</f>
        <v>https://api-enni.alpina.ru/FilePrivilegesApproval/152</v>
      </c>
      <c r="Z443" s="13" t="s">
        <v>1413</v>
      </c>
      <c r="AT443" s="1">
        <f t="shared" si="50"/>
        <v>0</v>
      </c>
      <c r="AU443" s="1">
        <f t="shared" si="51"/>
        <v>0</v>
      </c>
      <c r="AV443" s="1">
        <f t="shared" si="52"/>
        <v>0</v>
      </c>
      <c r="AW443" s="1">
        <f t="shared" si="53"/>
        <v>0</v>
      </c>
      <c r="AX443" s="1">
        <f t="shared" si="54"/>
        <v>0</v>
      </c>
    </row>
    <row r="444" spans="1:50" s="1" customFormat="1" ht="21.95" customHeight="1" outlineLevel="3" x14ac:dyDescent="0.2">
      <c r="A444" s="11"/>
      <c r="B444" s="12">
        <v>590</v>
      </c>
      <c r="C444" s="12">
        <v>840</v>
      </c>
      <c r="D444" s="12">
        <v>32192</v>
      </c>
      <c r="E444" s="13" t="s">
        <v>169</v>
      </c>
      <c r="F444" s="13" t="s">
        <v>170</v>
      </c>
      <c r="G444" s="13" t="s">
        <v>49</v>
      </c>
      <c r="H444" s="13"/>
      <c r="I444" s="12">
        <v>2025</v>
      </c>
      <c r="J444" s="13" t="s">
        <v>171</v>
      </c>
      <c r="K444" s="12">
        <v>9786018215544</v>
      </c>
      <c r="L444" s="13" t="s">
        <v>172</v>
      </c>
      <c r="M444" s="12">
        <v>176</v>
      </c>
      <c r="N444" s="14">
        <v>0.31</v>
      </c>
      <c r="O444" s="12">
        <v>150</v>
      </c>
      <c r="P444" s="12">
        <v>220</v>
      </c>
      <c r="Q444" s="12">
        <v>10</v>
      </c>
      <c r="R444" s="13" t="s">
        <v>43</v>
      </c>
      <c r="S444" s="13"/>
      <c r="T444" s="15">
        <v>1000</v>
      </c>
      <c r="U444" s="13" t="s">
        <v>52</v>
      </c>
      <c r="V444" s="13" t="s">
        <v>59</v>
      </c>
      <c r="W444" s="12">
        <v>20</v>
      </c>
      <c r="X444" s="33" t="str">
        <f>HYPERLINK("https://www.alpinabook.ru/catalog/book-proshche-chem-kazhetsya","ссылка на книгу")</f>
        <v>ссылка на книгу</v>
      </c>
      <c r="Y444" s="34" t="str">
        <f>HYPERLINK("","")</f>
        <v/>
      </c>
      <c r="Z444" s="13" t="s">
        <v>173</v>
      </c>
      <c r="AT444" s="1">
        <f t="shared" si="50"/>
        <v>0</v>
      </c>
      <c r="AU444" s="1">
        <f t="shared" si="51"/>
        <v>0</v>
      </c>
      <c r="AV444" s="1">
        <f t="shared" si="52"/>
        <v>0</v>
      </c>
      <c r="AW444" s="1">
        <f t="shared" si="53"/>
        <v>0</v>
      </c>
      <c r="AX444" s="1">
        <f t="shared" si="54"/>
        <v>0</v>
      </c>
    </row>
    <row r="445" spans="1:50" s="1" customFormat="1" ht="24.95" customHeight="1" outlineLevel="3" x14ac:dyDescent="0.2">
      <c r="A445" s="26"/>
      <c r="B445" s="27">
        <v>290</v>
      </c>
      <c r="C445" s="27">
        <v>440</v>
      </c>
      <c r="D445" s="27">
        <v>29593</v>
      </c>
      <c r="E445" s="29" t="s">
        <v>1482</v>
      </c>
      <c r="F445" s="29" t="s">
        <v>1483</v>
      </c>
      <c r="G445" s="29" t="s">
        <v>56</v>
      </c>
      <c r="H445" s="29" t="s">
        <v>40</v>
      </c>
      <c r="I445" s="27">
        <v>2024</v>
      </c>
      <c r="J445" s="29" t="s">
        <v>1484</v>
      </c>
      <c r="K445" s="27">
        <v>9785961493153</v>
      </c>
      <c r="L445" s="29" t="s">
        <v>1485</v>
      </c>
      <c r="M445" s="27">
        <v>190</v>
      </c>
      <c r="N445" s="30">
        <v>0.16</v>
      </c>
      <c r="O445" s="27">
        <v>120</v>
      </c>
      <c r="P445" s="27">
        <v>170</v>
      </c>
      <c r="Q445" s="27">
        <v>24</v>
      </c>
      <c r="R445" s="29" t="s">
        <v>75</v>
      </c>
      <c r="S445" s="29" t="s">
        <v>76</v>
      </c>
      <c r="T445" s="28">
        <v>2000</v>
      </c>
      <c r="U445" s="29" t="s">
        <v>44</v>
      </c>
      <c r="V445" s="29" t="s">
        <v>59</v>
      </c>
      <c r="W445" s="27">
        <v>10</v>
      </c>
      <c r="X445" s="37" t="str">
        <f>HYPERLINK("https://www.alpinabook.ru/catalog/book-psikhovampiry","ссылка на книгу")</f>
        <v>ссылка на книгу</v>
      </c>
      <c r="Y445" s="38" t="str">
        <f>HYPERLINK("https://api-enni.alpina.ru/FilePrivilegesApproval/157","https://api-enni.alpina.ru/FilePrivilegesApproval/157")</f>
        <v>https://api-enni.alpina.ru/FilePrivilegesApproval/157</v>
      </c>
      <c r="Z445" s="29"/>
      <c r="AT445" s="1">
        <f t="shared" si="50"/>
        <v>0</v>
      </c>
      <c r="AU445" s="1">
        <f t="shared" si="51"/>
        <v>0</v>
      </c>
      <c r="AV445" s="1">
        <f t="shared" si="52"/>
        <v>0</v>
      </c>
      <c r="AW445" s="1">
        <f t="shared" si="53"/>
        <v>0</v>
      </c>
      <c r="AX445" s="1">
        <f t="shared" si="54"/>
        <v>0</v>
      </c>
    </row>
    <row r="446" spans="1:50" s="1" customFormat="1" ht="24.95" customHeight="1" outlineLevel="3" x14ac:dyDescent="0.2">
      <c r="A446" s="11"/>
      <c r="B446" s="12">
        <v>590</v>
      </c>
      <c r="C446" s="12">
        <v>840</v>
      </c>
      <c r="D446" s="12">
        <v>30172</v>
      </c>
      <c r="E446" s="13" t="s">
        <v>1486</v>
      </c>
      <c r="F446" s="13" t="s">
        <v>1487</v>
      </c>
      <c r="G446" s="13" t="s">
        <v>56</v>
      </c>
      <c r="H446" s="13" t="s">
        <v>40</v>
      </c>
      <c r="I446" s="12">
        <v>2025</v>
      </c>
      <c r="J446" s="13" t="s">
        <v>1488</v>
      </c>
      <c r="K446" s="12">
        <v>9785961494945</v>
      </c>
      <c r="L446" s="13" t="s">
        <v>1489</v>
      </c>
      <c r="M446" s="12">
        <v>318</v>
      </c>
      <c r="N446" s="14">
        <v>0.49</v>
      </c>
      <c r="O446" s="12">
        <v>150</v>
      </c>
      <c r="P446" s="12">
        <v>220</v>
      </c>
      <c r="Q446" s="12">
        <v>5</v>
      </c>
      <c r="R446" s="13" t="s">
        <v>43</v>
      </c>
      <c r="S446" s="13"/>
      <c r="T446" s="15">
        <v>1000</v>
      </c>
      <c r="U446" s="13" t="s">
        <v>52</v>
      </c>
      <c r="V446" s="13" t="s">
        <v>45</v>
      </c>
      <c r="W446" s="12">
        <v>10</v>
      </c>
      <c r="X446" s="33" t="str">
        <f>HYPERLINK("https://www.alpinabook.ru/catalog/book-psikhologiya-terrorista","ссылка на книгу")</f>
        <v>ссылка на книгу</v>
      </c>
      <c r="Y446" s="34" t="str">
        <f>HYPERLINK("https://api-enni.alpina.ru/FilePrivilegesApproval/782","https://api-enni.alpina.ru/FilePrivilegesApproval/782")</f>
        <v>https://api-enni.alpina.ru/FilePrivilegesApproval/782</v>
      </c>
      <c r="Z446" s="13" t="s">
        <v>431</v>
      </c>
      <c r="AT446" s="1">
        <f t="shared" si="50"/>
        <v>0</v>
      </c>
      <c r="AU446" s="1">
        <f t="shared" si="51"/>
        <v>0</v>
      </c>
      <c r="AV446" s="1">
        <f t="shared" si="52"/>
        <v>0</v>
      </c>
      <c r="AW446" s="1">
        <f t="shared" si="53"/>
        <v>0</v>
      </c>
      <c r="AX446" s="1">
        <f t="shared" si="54"/>
        <v>0</v>
      </c>
    </row>
    <row r="447" spans="1:50" s="1" customFormat="1" ht="24.95" customHeight="1" outlineLevel="3" x14ac:dyDescent="0.2">
      <c r="A447" s="11"/>
      <c r="B447" s="12">
        <v>540</v>
      </c>
      <c r="C447" s="12">
        <v>790</v>
      </c>
      <c r="D447" s="12">
        <v>27462</v>
      </c>
      <c r="E447" s="13" t="s">
        <v>1490</v>
      </c>
      <c r="F447" s="13" t="s">
        <v>1491</v>
      </c>
      <c r="G447" s="13" t="s">
        <v>56</v>
      </c>
      <c r="H447" s="13" t="s">
        <v>164</v>
      </c>
      <c r="I447" s="12">
        <v>2025</v>
      </c>
      <c r="J447" s="13" t="s">
        <v>1492</v>
      </c>
      <c r="K447" s="12">
        <v>9785961485257</v>
      </c>
      <c r="L447" s="13" t="s">
        <v>1493</v>
      </c>
      <c r="M447" s="12">
        <v>272</v>
      </c>
      <c r="N447" s="14">
        <v>0.34</v>
      </c>
      <c r="O447" s="12">
        <v>140</v>
      </c>
      <c r="P447" s="12">
        <v>210</v>
      </c>
      <c r="Q447" s="12">
        <v>16</v>
      </c>
      <c r="R447" s="13" t="s">
        <v>43</v>
      </c>
      <c r="S447" s="13"/>
      <c r="T447" s="15">
        <v>3000</v>
      </c>
      <c r="U447" s="13" t="s">
        <v>44</v>
      </c>
      <c r="V447" s="13" t="s">
        <v>59</v>
      </c>
      <c r="W447" s="12">
        <v>10</v>
      </c>
      <c r="X447" s="33" t="str">
        <f>HYPERLINK("https://www.alpinabook.ru/catalog/book-psikhoterapiya-na-kazhdyy-den","ссылка на книгу")</f>
        <v>ссылка на книгу</v>
      </c>
      <c r="Y447" s="34" t="str">
        <f>HYPERLINK("https://api-enni.alpina.ru/FilePrivilegesApproval/328","https://api-enni.alpina.ru/FilePrivilegesApproval/328")</f>
        <v>https://api-enni.alpina.ru/FilePrivilegesApproval/328</v>
      </c>
      <c r="Z447" s="13" t="s">
        <v>46</v>
      </c>
      <c r="AT447" s="1">
        <f t="shared" si="50"/>
        <v>0</v>
      </c>
      <c r="AU447" s="1">
        <f t="shared" si="51"/>
        <v>0</v>
      </c>
      <c r="AV447" s="1">
        <f t="shared" si="52"/>
        <v>0</v>
      </c>
      <c r="AW447" s="1">
        <f t="shared" si="53"/>
        <v>0</v>
      </c>
      <c r="AX447" s="1">
        <f t="shared" si="54"/>
        <v>0</v>
      </c>
    </row>
    <row r="448" spans="1:50" s="1" customFormat="1" ht="24.95" customHeight="1" outlineLevel="3" x14ac:dyDescent="0.2">
      <c r="A448" s="11"/>
      <c r="B448" s="12">
        <v>690</v>
      </c>
      <c r="C448" s="12">
        <v>990</v>
      </c>
      <c r="D448" s="12">
        <v>32108</v>
      </c>
      <c r="E448" s="13" t="s">
        <v>179</v>
      </c>
      <c r="F448" s="13" t="s">
        <v>180</v>
      </c>
      <c r="G448" s="13" t="s">
        <v>56</v>
      </c>
      <c r="H448" s="13"/>
      <c r="I448" s="12">
        <v>2025</v>
      </c>
      <c r="J448" s="13" t="s">
        <v>181</v>
      </c>
      <c r="K448" s="12">
        <v>9785006301412</v>
      </c>
      <c r="L448" s="13" t="s">
        <v>182</v>
      </c>
      <c r="M448" s="12">
        <v>375</v>
      </c>
      <c r="N448" s="14">
        <v>0.55000000000000004</v>
      </c>
      <c r="O448" s="12">
        <v>150</v>
      </c>
      <c r="P448" s="12">
        <v>220</v>
      </c>
      <c r="Q448" s="12">
        <v>12</v>
      </c>
      <c r="R448" s="13" t="s">
        <v>43</v>
      </c>
      <c r="S448" s="13"/>
      <c r="T448" s="15">
        <v>3000</v>
      </c>
      <c r="U448" s="13" t="s">
        <v>52</v>
      </c>
      <c r="V448" s="13" t="s">
        <v>45</v>
      </c>
      <c r="W448" s="12">
        <v>10</v>
      </c>
      <c r="X448" s="33" t="str">
        <f>HYPERLINK("https://www.alpinabook.ru/catalog/book-puteshestvie-k-podlinnomu-ya","ссылка на книгу")</f>
        <v>ссылка на книгу</v>
      </c>
      <c r="Y448" s="34" t="str">
        <f>HYPERLINK("https://api-enni.alpina.ru/FilePrivilegesApproval/856","https://api-enni.alpina.ru/FilePrivilegesApproval/856")</f>
        <v>https://api-enni.alpina.ru/FilePrivilegesApproval/856</v>
      </c>
      <c r="Z448" s="13" t="s">
        <v>132</v>
      </c>
      <c r="AT448" s="1">
        <f t="shared" si="50"/>
        <v>0</v>
      </c>
      <c r="AU448" s="1">
        <f t="shared" si="51"/>
        <v>0</v>
      </c>
      <c r="AV448" s="1">
        <f t="shared" si="52"/>
        <v>0</v>
      </c>
      <c r="AW448" s="1">
        <f t="shared" si="53"/>
        <v>0</v>
      </c>
      <c r="AX448" s="1">
        <f t="shared" si="54"/>
        <v>0</v>
      </c>
    </row>
    <row r="449" spans="1:50" s="1" customFormat="1" ht="24.95" customHeight="1" outlineLevel="3" x14ac:dyDescent="0.2">
      <c r="A449" s="11"/>
      <c r="B449" s="12">
        <v>590</v>
      </c>
      <c r="C449" s="12">
        <v>840</v>
      </c>
      <c r="D449" s="12">
        <v>27022</v>
      </c>
      <c r="E449" s="13" t="s">
        <v>1494</v>
      </c>
      <c r="F449" s="13" t="s">
        <v>1495</v>
      </c>
      <c r="G449" s="13" t="s">
        <v>56</v>
      </c>
      <c r="H449" s="13" t="s">
        <v>236</v>
      </c>
      <c r="I449" s="12">
        <v>2025</v>
      </c>
      <c r="J449" s="13" t="s">
        <v>1496</v>
      </c>
      <c r="K449" s="12">
        <v>9785961483758</v>
      </c>
      <c r="L449" s="13" t="s">
        <v>1497</v>
      </c>
      <c r="M449" s="12">
        <v>307</v>
      </c>
      <c r="N449" s="14">
        <v>0.39</v>
      </c>
      <c r="O449" s="12">
        <v>140</v>
      </c>
      <c r="P449" s="12">
        <v>210</v>
      </c>
      <c r="Q449" s="12">
        <v>14</v>
      </c>
      <c r="R449" s="13" t="s">
        <v>43</v>
      </c>
      <c r="S449" s="13"/>
      <c r="T449" s="15">
        <v>2000</v>
      </c>
      <c r="U449" s="13" t="s">
        <v>44</v>
      </c>
      <c r="V449" s="13" t="s">
        <v>59</v>
      </c>
      <c r="W449" s="12">
        <v>10</v>
      </c>
      <c r="X449" s="33" t="str">
        <f>HYPERLINK("https://www.alpinabook.ru/catalog/book-puteshestvie-na-voskhode-solntsa","ссылка на книгу")</f>
        <v>ссылка на книгу</v>
      </c>
      <c r="Y449" s="34" t="str">
        <f>HYPERLINK("https://api-enni.alpina.ru/FilePrivilegesApproval/396","https://api-enni.alpina.ru/FilePrivilegesApproval/396")</f>
        <v>https://api-enni.alpina.ru/FilePrivilegesApproval/396</v>
      </c>
      <c r="Z449" s="13" t="s">
        <v>1413</v>
      </c>
      <c r="AT449" s="1">
        <f t="shared" si="50"/>
        <v>0</v>
      </c>
      <c r="AU449" s="1">
        <f t="shared" si="51"/>
        <v>0</v>
      </c>
      <c r="AV449" s="1">
        <f t="shared" si="52"/>
        <v>0</v>
      </c>
      <c r="AW449" s="1">
        <f t="shared" si="53"/>
        <v>0</v>
      </c>
      <c r="AX449" s="1">
        <f t="shared" si="54"/>
        <v>0</v>
      </c>
    </row>
    <row r="450" spans="1:50" s="1" customFormat="1" ht="24.95" customHeight="1" outlineLevel="3" x14ac:dyDescent="0.2">
      <c r="A450" s="11"/>
      <c r="B450" s="12">
        <v>490</v>
      </c>
      <c r="C450" s="12">
        <v>690</v>
      </c>
      <c r="D450" s="12">
        <v>27561</v>
      </c>
      <c r="E450" s="13" t="s">
        <v>1154</v>
      </c>
      <c r="F450" s="13" t="s">
        <v>1498</v>
      </c>
      <c r="G450" s="13" t="s">
        <v>56</v>
      </c>
      <c r="H450" s="13" t="s">
        <v>40</v>
      </c>
      <c r="I450" s="12">
        <v>2025</v>
      </c>
      <c r="J450" s="13" t="s">
        <v>1499</v>
      </c>
      <c r="K450" s="12">
        <v>9785961485639</v>
      </c>
      <c r="L450" s="13" t="s">
        <v>1500</v>
      </c>
      <c r="M450" s="12">
        <v>212</v>
      </c>
      <c r="N450" s="14">
        <v>0.22</v>
      </c>
      <c r="O450" s="12">
        <v>140</v>
      </c>
      <c r="P450" s="12">
        <v>210</v>
      </c>
      <c r="Q450" s="12">
        <v>10</v>
      </c>
      <c r="R450" s="13" t="s">
        <v>43</v>
      </c>
      <c r="S450" s="13" t="s">
        <v>1149</v>
      </c>
      <c r="T450" s="15">
        <v>1000</v>
      </c>
      <c r="U450" s="13" t="s">
        <v>44</v>
      </c>
      <c r="V450" s="13" t="s">
        <v>64</v>
      </c>
      <c r="W450" s="12">
        <v>10</v>
      </c>
      <c r="X450" s="33" t="str">
        <f>HYPERLINK("https://www.alpinabook.ru/catalog/book-put-k-izmeneniyu","ссылка на книгу")</f>
        <v>ссылка на книгу</v>
      </c>
      <c r="Y450" s="34" t="str">
        <f>HYPERLINK("https://api-enni.alpina.ru/FilePrivilegesApproval/202","https://api-enni.alpina.ru/FilePrivilegesApproval/202")</f>
        <v>https://api-enni.alpina.ru/FilePrivilegesApproval/202</v>
      </c>
      <c r="Z450" s="13" t="s">
        <v>847</v>
      </c>
      <c r="AT450" s="1">
        <f t="shared" si="50"/>
        <v>0</v>
      </c>
      <c r="AU450" s="1">
        <f t="shared" si="51"/>
        <v>0</v>
      </c>
      <c r="AV450" s="1">
        <f t="shared" si="52"/>
        <v>0</v>
      </c>
      <c r="AW450" s="1">
        <f t="shared" si="53"/>
        <v>0</v>
      </c>
      <c r="AX450" s="1">
        <f t="shared" si="54"/>
        <v>0</v>
      </c>
    </row>
    <row r="451" spans="1:50" s="1" customFormat="1" ht="24.95" customHeight="1" outlineLevel="3" x14ac:dyDescent="0.2">
      <c r="A451" s="11"/>
      <c r="B451" s="12">
        <v>380</v>
      </c>
      <c r="C451" s="12">
        <v>590</v>
      </c>
      <c r="D451" s="12">
        <v>31030</v>
      </c>
      <c r="E451" s="13" t="s">
        <v>183</v>
      </c>
      <c r="F451" s="13" t="s">
        <v>184</v>
      </c>
      <c r="G451" s="13" t="s">
        <v>56</v>
      </c>
      <c r="H451" s="13" t="s">
        <v>40</v>
      </c>
      <c r="I451" s="12">
        <v>2025</v>
      </c>
      <c r="J451" s="13" t="s">
        <v>185</v>
      </c>
      <c r="K451" s="12">
        <v>9785961497243</v>
      </c>
      <c r="L451" s="13" t="s">
        <v>186</v>
      </c>
      <c r="M451" s="12">
        <v>512</v>
      </c>
      <c r="N451" s="14">
        <v>0.33</v>
      </c>
      <c r="O451" s="12">
        <v>120</v>
      </c>
      <c r="P451" s="12">
        <v>170</v>
      </c>
      <c r="Q451" s="12">
        <v>20</v>
      </c>
      <c r="R451" s="13" t="s">
        <v>75</v>
      </c>
      <c r="S451" s="13" t="s">
        <v>187</v>
      </c>
      <c r="T451" s="15">
        <v>4000</v>
      </c>
      <c r="U451" s="13" t="s">
        <v>44</v>
      </c>
      <c r="V451" s="13" t="s">
        <v>59</v>
      </c>
      <c r="W451" s="12">
        <v>10</v>
      </c>
      <c r="X451" s="33" t="str">
        <f>HYPERLINK("https://www.alpinabook.ru/catalog/book-put-k-protsvetaniyu","ссылка на книгу")</f>
        <v>ссылка на книгу</v>
      </c>
      <c r="Y451" s="34" t="str">
        <f>HYPERLINK("https://api-enni.alpina.ru/FilePrivilegesApproval/809","https://api-enni.alpina.ru/FilePrivilegesApproval/809")</f>
        <v>https://api-enni.alpina.ru/FilePrivilegesApproval/809</v>
      </c>
      <c r="Z451" s="13" t="s">
        <v>142</v>
      </c>
      <c r="AT451" s="1">
        <f t="shared" si="50"/>
        <v>0</v>
      </c>
      <c r="AU451" s="1">
        <f t="shared" si="51"/>
        <v>0</v>
      </c>
      <c r="AV451" s="1">
        <f t="shared" si="52"/>
        <v>0</v>
      </c>
      <c r="AW451" s="1">
        <f t="shared" si="53"/>
        <v>0</v>
      </c>
      <c r="AX451" s="1">
        <f t="shared" si="54"/>
        <v>0</v>
      </c>
    </row>
    <row r="452" spans="1:50" s="1" customFormat="1" ht="24.95" customHeight="1" outlineLevel="3" x14ac:dyDescent="0.2">
      <c r="A452" s="11"/>
      <c r="B452" s="12">
        <v>730</v>
      </c>
      <c r="C452" s="12">
        <v>730</v>
      </c>
      <c r="D452" s="12">
        <v>17583</v>
      </c>
      <c r="E452" s="13" t="s">
        <v>1501</v>
      </c>
      <c r="F452" s="13" t="s">
        <v>1502</v>
      </c>
      <c r="G452" s="13" t="s">
        <v>56</v>
      </c>
      <c r="H452" s="13" t="s">
        <v>40</v>
      </c>
      <c r="I452" s="12">
        <v>2021</v>
      </c>
      <c r="J452" s="13" t="s">
        <v>1503</v>
      </c>
      <c r="K452" s="12">
        <v>9785961473827</v>
      </c>
      <c r="L452" s="13" t="s">
        <v>1504</v>
      </c>
      <c r="M452" s="12">
        <v>529</v>
      </c>
      <c r="N452" s="14">
        <v>0.74</v>
      </c>
      <c r="O452" s="12">
        <v>146</v>
      </c>
      <c r="P452" s="12">
        <v>216</v>
      </c>
      <c r="Q452" s="12">
        <v>8</v>
      </c>
      <c r="R452" s="13" t="s">
        <v>43</v>
      </c>
      <c r="S452" s="13"/>
      <c r="T452" s="15">
        <v>3000</v>
      </c>
      <c r="U452" s="13" t="s">
        <v>52</v>
      </c>
      <c r="V452" s="13" t="s">
        <v>45</v>
      </c>
      <c r="W452" s="12">
        <v>10</v>
      </c>
      <c r="X452" s="33" t="str">
        <f>HYPERLINK("https://www.alpinabook.ru/catalog/book-put-k-samoaktualizatsii","ссылка на книгу")</f>
        <v>ссылка на книгу</v>
      </c>
      <c r="Y452" s="34" t="str">
        <f>HYPERLINK("https://api-enni.alpina.ru/FilePrivilegesApproval/118","https://api-enni.alpina.ru/FilePrivilegesApproval/118")</f>
        <v>https://api-enni.alpina.ru/FilePrivilegesApproval/118</v>
      </c>
      <c r="Z452" s="13"/>
      <c r="AT452" s="1">
        <f t="shared" si="50"/>
        <v>0</v>
      </c>
      <c r="AU452" s="1">
        <f t="shared" si="51"/>
        <v>0</v>
      </c>
      <c r="AV452" s="1">
        <f t="shared" si="52"/>
        <v>0</v>
      </c>
      <c r="AW452" s="1">
        <f t="shared" si="53"/>
        <v>0</v>
      </c>
      <c r="AX452" s="1">
        <f t="shared" si="54"/>
        <v>0</v>
      </c>
    </row>
    <row r="453" spans="1:50" s="1" customFormat="1" ht="24.95" customHeight="1" outlineLevel="3" x14ac:dyDescent="0.2">
      <c r="A453" s="11"/>
      <c r="B453" s="12">
        <v>590</v>
      </c>
      <c r="C453" s="12">
        <v>840</v>
      </c>
      <c r="D453" s="12">
        <v>23333</v>
      </c>
      <c r="E453" s="13" t="s">
        <v>1505</v>
      </c>
      <c r="F453" s="13" t="s">
        <v>1506</v>
      </c>
      <c r="G453" s="13" t="s">
        <v>56</v>
      </c>
      <c r="H453" s="13" t="s">
        <v>40</v>
      </c>
      <c r="I453" s="12">
        <v>2022</v>
      </c>
      <c r="J453" s="13" t="s">
        <v>1507</v>
      </c>
      <c r="K453" s="12">
        <v>9785961474572</v>
      </c>
      <c r="L453" s="13" t="s">
        <v>1508</v>
      </c>
      <c r="M453" s="12">
        <v>150</v>
      </c>
      <c r="N453" s="14">
        <v>0.3</v>
      </c>
      <c r="O453" s="12">
        <v>164</v>
      </c>
      <c r="P453" s="12">
        <v>215</v>
      </c>
      <c r="Q453" s="12">
        <v>12</v>
      </c>
      <c r="R453" s="13" t="s">
        <v>100</v>
      </c>
      <c r="S453" s="13"/>
      <c r="T453" s="15">
        <v>3000</v>
      </c>
      <c r="U453" s="13" t="s">
        <v>44</v>
      </c>
      <c r="V453" s="13" t="s">
        <v>59</v>
      </c>
      <c r="W453" s="12">
        <v>10</v>
      </c>
      <c r="X453" s="33" t="str">
        <f>HYPERLINK("https://www.alpinabook.ru/catalog/book-razberis-s-trevogoy","ссылка на книгу")</f>
        <v>ссылка на книгу</v>
      </c>
      <c r="Y453" s="34" t="str">
        <f>HYPERLINK("https://api-enni.alpina.ru/FilePrivilegesApproval/122","https://api-enni.alpina.ru/FilePrivilegesApproval/122")</f>
        <v>https://api-enni.alpina.ru/FilePrivilegesApproval/122</v>
      </c>
      <c r="Z453" s="13"/>
      <c r="AT453" s="1">
        <f t="shared" si="50"/>
        <v>0</v>
      </c>
      <c r="AU453" s="1">
        <f t="shared" si="51"/>
        <v>0</v>
      </c>
      <c r="AV453" s="1">
        <f t="shared" si="52"/>
        <v>0</v>
      </c>
      <c r="AW453" s="1">
        <f t="shared" si="53"/>
        <v>0</v>
      </c>
      <c r="AX453" s="1">
        <f t="shared" si="54"/>
        <v>0</v>
      </c>
    </row>
    <row r="454" spans="1:50" s="1" customFormat="1" ht="24.95" customHeight="1" outlineLevel="3" x14ac:dyDescent="0.2">
      <c r="A454" s="11"/>
      <c r="B454" s="15">
        <v>1200</v>
      </c>
      <c r="C454" s="15">
        <v>1690</v>
      </c>
      <c r="D454" s="12">
        <v>4090</v>
      </c>
      <c r="E454" s="13" t="s">
        <v>1509</v>
      </c>
      <c r="F454" s="13" t="s">
        <v>1510</v>
      </c>
      <c r="G454" s="13" t="s">
        <v>56</v>
      </c>
      <c r="H454" s="13"/>
      <c r="I454" s="12">
        <v>2025</v>
      </c>
      <c r="J454" s="13" t="s">
        <v>1511</v>
      </c>
      <c r="K454" s="12">
        <v>9785961462418</v>
      </c>
      <c r="L454" s="13" t="s">
        <v>1512</v>
      </c>
      <c r="M454" s="12">
        <v>456</v>
      </c>
      <c r="N454" s="14">
        <v>1.03</v>
      </c>
      <c r="O454" s="12">
        <v>235</v>
      </c>
      <c r="P454" s="12">
        <v>171</v>
      </c>
      <c r="Q454" s="12">
        <v>4</v>
      </c>
      <c r="R454" s="13" t="s">
        <v>94</v>
      </c>
      <c r="S454" s="13"/>
      <c r="T454" s="15">
        <v>2000</v>
      </c>
      <c r="U454" s="13" t="s">
        <v>52</v>
      </c>
      <c r="V454" s="13" t="s">
        <v>59</v>
      </c>
      <c r="W454" s="12">
        <v>10</v>
      </c>
      <c r="X454" s="33" t="str">
        <f>HYPERLINK("https://www.alpinabook.ru/catalog/book-razvitie-pamyati-po-metodikam-spetssluzhb","ссылка на книгу")</f>
        <v>ссылка на книгу</v>
      </c>
      <c r="Y454" s="34" t="str">
        <f>HYPERLINK("https://api-enni.alpina.ru/FilePrivilegesApproval/2","https://api-enni.alpina.ru/FilePrivilegesApproval/2")</f>
        <v>https://api-enni.alpina.ru/FilePrivilegesApproval/2</v>
      </c>
      <c r="Z454" s="13"/>
      <c r="AT454" s="1">
        <f t="shared" si="50"/>
        <v>0</v>
      </c>
      <c r="AU454" s="1">
        <f t="shared" si="51"/>
        <v>0</v>
      </c>
      <c r="AV454" s="1">
        <f t="shared" si="52"/>
        <v>0</v>
      </c>
      <c r="AW454" s="1">
        <f t="shared" si="53"/>
        <v>0</v>
      </c>
      <c r="AX454" s="1">
        <f t="shared" si="54"/>
        <v>0</v>
      </c>
    </row>
    <row r="455" spans="1:50" s="1" customFormat="1" ht="24.95" customHeight="1" outlineLevel="3" x14ac:dyDescent="0.2">
      <c r="A455" s="11"/>
      <c r="B455" s="12">
        <v>590</v>
      </c>
      <c r="C455" s="12">
        <v>790</v>
      </c>
      <c r="D455" s="12">
        <v>26336</v>
      </c>
      <c r="E455" s="13" t="s">
        <v>1513</v>
      </c>
      <c r="F455" s="13" t="s">
        <v>1514</v>
      </c>
      <c r="G455" s="13" t="s">
        <v>97</v>
      </c>
      <c r="H455" s="13"/>
      <c r="I455" s="12">
        <v>2022</v>
      </c>
      <c r="J455" s="13" t="s">
        <v>1515</v>
      </c>
      <c r="K455" s="12">
        <v>9785206000702</v>
      </c>
      <c r="L455" s="13" t="s">
        <v>1516</v>
      </c>
      <c r="M455" s="12">
        <v>102</v>
      </c>
      <c r="N455" s="14">
        <v>0.23</v>
      </c>
      <c r="O455" s="12">
        <v>146</v>
      </c>
      <c r="P455" s="12">
        <v>216</v>
      </c>
      <c r="Q455" s="12">
        <v>12</v>
      </c>
      <c r="R455" s="13" t="s">
        <v>43</v>
      </c>
      <c r="S455" s="13"/>
      <c r="T455" s="15">
        <v>1510</v>
      </c>
      <c r="U455" s="13" t="s">
        <v>52</v>
      </c>
      <c r="V455" s="13" t="s">
        <v>45</v>
      </c>
      <c r="W455" s="12">
        <v>10</v>
      </c>
      <c r="X455" s="33" t="str">
        <f>HYPERLINK("https://www.alpinabook.ru/catalog/book-razvodnyy-most","ссылка на книгу")</f>
        <v>ссылка на книгу</v>
      </c>
      <c r="Y455" s="34" t="str">
        <f>HYPERLINK("https://api-enni.alpina.ru/FilePrivilegesApproval/169","https://api-enni.alpina.ru/FilePrivilegesApproval/169")</f>
        <v>https://api-enni.alpina.ru/FilePrivilegesApproval/169</v>
      </c>
      <c r="Z455" s="13"/>
      <c r="AT455" s="1">
        <f t="shared" si="50"/>
        <v>0</v>
      </c>
      <c r="AU455" s="1">
        <f t="shared" si="51"/>
        <v>0</v>
      </c>
      <c r="AV455" s="1">
        <f t="shared" si="52"/>
        <v>0</v>
      </c>
      <c r="AW455" s="1">
        <f t="shared" si="53"/>
        <v>0</v>
      </c>
      <c r="AX455" s="1">
        <f t="shared" si="54"/>
        <v>0</v>
      </c>
    </row>
    <row r="456" spans="1:50" s="1" customFormat="1" ht="24.95" customHeight="1" outlineLevel="3" x14ac:dyDescent="0.2">
      <c r="A456" s="11"/>
      <c r="B456" s="12">
        <v>690</v>
      </c>
      <c r="C456" s="12">
        <v>690</v>
      </c>
      <c r="D456" s="12">
        <v>18734</v>
      </c>
      <c r="E456" s="13" t="s">
        <v>1517</v>
      </c>
      <c r="F456" s="13" t="s">
        <v>1518</v>
      </c>
      <c r="G456" s="13" t="s">
        <v>56</v>
      </c>
      <c r="H456" s="13"/>
      <c r="I456" s="12">
        <v>2025</v>
      </c>
      <c r="J456" s="13" t="s">
        <v>1519</v>
      </c>
      <c r="K456" s="12">
        <v>9785961441154</v>
      </c>
      <c r="L456" s="13" t="s">
        <v>1520</v>
      </c>
      <c r="M456" s="12">
        <v>128</v>
      </c>
      <c r="N456" s="14">
        <v>0.26</v>
      </c>
      <c r="O456" s="12">
        <v>140</v>
      </c>
      <c r="P456" s="12">
        <v>220</v>
      </c>
      <c r="Q456" s="12">
        <v>22</v>
      </c>
      <c r="R456" s="13" t="s">
        <v>43</v>
      </c>
      <c r="S456" s="13"/>
      <c r="T456" s="15">
        <v>2000</v>
      </c>
      <c r="U456" s="13" t="s">
        <v>52</v>
      </c>
      <c r="V456" s="13" t="s">
        <v>59</v>
      </c>
      <c r="W456" s="12">
        <v>10</v>
      </c>
      <c r="X456" s="33" t="str">
        <f>HYPERLINK("https://www.alpinabook.ru/catalog/book-razgovory-kotorye-menyayut-zhizn","ссылка на книгу")</f>
        <v>ссылка на книгу</v>
      </c>
      <c r="Y456" s="34" t="str">
        <f>HYPERLINK("https://api-enni.alpina.ru/FilePrivilegesApproval/152","https://api-enni.alpina.ru/FilePrivilegesApproval/152")</f>
        <v>https://api-enni.alpina.ru/FilePrivilegesApproval/152</v>
      </c>
      <c r="Z456" s="13" t="s">
        <v>334</v>
      </c>
      <c r="AT456" s="1">
        <f t="shared" si="50"/>
        <v>0</v>
      </c>
      <c r="AU456" s="1">
        <f t="shared" si="51"/>
        <v>0</v>
      </c>
      <c r="AV456" s="1">
        <f t="shared" si="52"/>
        <v>0</v>
      </c>
      <c r="AW456" s="1">
        <f t="shared" si="53"/>
        <v>0</v>
      </c>
      <c r="AX456" s="1">
        <f t="shared" si="54"/>
        <v>0</v>
      </c>
    </row>
    <row r="457" spans="1:50" s="1" customFormat="1" ht="24.95" customHeight="1" outlineLevel="3" x14ac:dyDescent="0.2">
      <c r="A457" s="11"/>
      <c r="B457" s="12">
        <v>590</v>
      </c>
      <c r="C457" s="12">
        <v>840</v>
      </c>
      <c r="D457" s="12">
        <v>30273</v>
      </c>
      <c r="E457" s="13" t="s">
        <v>1521</v>
      </c>
      <c r="F457" s="13" t="s">
        <v>1522</v>
      </c>
      <c r="G457" s="13" t="s">
        <v>56</v>
      </c>
      <c r="H457" s="13" t="s">
        <v>1090</v>
      </c>
      <c r="I457" s="12">
        <v>2025</v>
      </c>
      <c r="J457" s="13" t="s">
        <v>1523</v>
      </c>
      <c r="K457" s="12">
        <v>9785961495096</v>
      </c>
      <c r="L457" s="13" t="s">
        <v>1524</v>
      </c>
      <c r="M457" s="12">
        <v>360</v>
      </c>
      <c r="N457" s="14">
        <v>0.53</v>
      </c>
      <c r="O457" s="12">
        <v>150</v>
      </c>
      <c r="P457" s="12">
        <v>220</v>
      </c>
      <c r="Q457" s="12">
        <v>12</v>
      </c>
      <c r="R457" s="13" t="s">
        <v>43</v>
      </c>
      <c r="S457" s="13"/>
      <c r="T457" s="15">
        <v>2000</v>
      </c>
      <c r="U457" s="13" t="s">
        <v>52</v>
      </c>
      <c r="V457" s="13" t="s">
        <v>45</v>
      </c>
      <c r="W457" s="12">
        <v>10</v>
      </c>
      <c r="X457" s="33" t="str">
        <f>HYPERLINK("https://www.alpinabook.ru/catalog/book-rebenok-vsye-izmenit","ссылка на книгу")</f>
        <v>ссылка на книгу</v>
      </c>
      <c r="Y457" s="34" t="str">
        <f>HYPERLINK("https://api-enni.alpina.ru/FilePrivilegesApproval/809","https://api-enni.alpina.ru/FilePrivilegesApproval/809")</f>
        <v>https://api-enni.alpina.ru/FilePrivilegesApproval/809</v>
      </c>
      <c r="Z457" s="13" t="s">
        <v>775</v>
      </c>
      <c r="AT457" s="1">
        <f t="shared" si="50"/>
        <v>0</v>
      </c>
      <c r="AU457" s="1">
        <f t="shared" si="51"/>
        <v>0</v>
      </c>
      <c r="AV457" s="1">
        <f t="shared" si="52"/>
        <v>0</v>
      </c>
      <c r="AW457" s="1">
        <f t="shared" si="53"/>
        <v>0</v>
      </c>
      <c r="AX457" s="1">
        <f t="shared" si="54"/>
        <v>0</v>
      </c>
    </row>
    <row r="458" spans="1:50" s="1" customFormat="1" ht="24.95" customHeight="1" outlineLevel="3" x14ac:dyDescent="0.2">
      <c r="A458" s="11"/>
      <c r="B458" s="12">
        <v>380</v>
      </c>
      <c r="C458" s="12">
        <v>590</v>
      </c>
      <c r="D458" s="12">
        <v>30991</v>
      </c>
      <c r="E458" s="13" t="s">
        <v>183</v>
      </c>
      <c r="F458" s="13" t="s">
        <v>195</v>
      </c>
      <c r="G458" s="13" t="s">
        <v>56</v>
      </c>
      <c r="H458" s="13" t="s">
        <v>40</v>
      </c>
      <c r="I458" s="12">
        <v>2025</v>
      </c>
      <c r="J458" s="13" t="s">
        <v>196</v>
      </c>
      <c r="K458" s="12">
        <v>9785961497151</v>
      </c>
      <c r="L458" s="13" t="s">
        <v>197</v>
      </c>
      <c r="M458" s="12">
        <v>445</v>
      </c>
      <c r="N458" s="14">
        <v>0.28999999999999998</v>
      </c>
      <c r="O458" s="12">
        <v>120</v>
      </c>
      <c r="P458" s="12">
        <v>170</v>
      </c>
      <c r="Q458" s="12">
        <v>24</v>
      </c>
      <c r="R458" s="13" t="s">
        <v>75</v>
      </c>
      <c r="S458" s="13" t="s">
        <v>187</v>
      </c>
      <c r="T458" s="15">
        <v>4000</v>
      </c>
      <c r="U458" s="13" t="s">
        <v>44</v>
      </c>
      <c r="V458" s="13" t="s">
        <v>59</v>
      </c>
      <c r="W458" s="12">
        <v>10</v>
      </c>
      <c r="X458" s="33" t="str">
        <f>HYPERLINK("https://www.alpinabook.ru/catalog/book-rebenok-optimist","ссылка на книгу")</f>
        <v>ссылка на книгу</v>
      </c>
      <c r="Y458" s="34" t="str">
        <f>HYPERLINK("https://api-enni.alpina.ru/FilePrivilegesApproval/831","https://api-enni.alpina.ru/FilePrivilegesApproval/831")</f>
        <v>https://api-enni.alpina.ru/FilePrivilegesApproval/831</v>
      </c>
      <c r="Z458" s="13" t="s">
        <v>142</v>
      </c>
      <c r="AT458" s="1">
        <f t="shared" si="50"/>
        <v>0</v>
      </c>
      <c r="AU458" s="1">
        <f t="shared" si="51"/>
        <v>0</v>
      </c>
      <c r="AV458" s="1">
        <f t="shared" si="52"/>
        <v>0</v>
      </c>
      <c r="AW458" s="1">
        <f t="shared" si="53"/>
        <v>0</v>
      </c>
      <c r="AX458" s="1">
        <f t="shared" si="54"/>
        <v>0</v>
      </c>
    </row>
    <row r="459" spans="1:50" s="1" customFormat="1" ht="24.95" customHeight="1" outlineLevel="3" x14ac:dyDescent="0.2">
      <c r="A459" s="11"/>
      <c r="B459" s="12">
        <v>540</v>
      </c>
      <c r="C459" s="12">
        <v>790</v>
      </c>
      <c r="D459" s="12">
        <v>11860</v>
      </c>
      <c r="E459" s="13" t="s">
        <v>1525</v>
      </c>
      <c r="F459" s="13" t="s">
        <v>1526</v>
      </c>
      <c r="G459" s="13" t="s">
        <v>56</v>
      </c>
      <c r="H459" s="13"/>
      <c r="I459" s="12">
        <v>2023</v>
      </c>
      <c r="J459" s="13" t="s">
        <v>1527</v>
      </c>
      <c r="K459" s="12">
        <v>9785961425741</v>
      </c>
      <c r="L459" s="13" t="s">
        <v>1528</v>
      </c>
      <c r="M459" s="12">
        <v>336</v>
      </c>
      <c r="N459" s="14">
        <v>0.41</v>
      </c>
      <c r="O459" s="12">
        <v>141</v>
      </c>
      <c r="P459" s="12">
        <v>210</v>
      </c>
      <c r="Q459" s="12">
        <v>14</v>
      </c>
      <c r="R459" s="13" t="s">
        <v>43</v>
      </c>
      <c r="S459" s="13"/>
      <c r="T459" s="15">
        <v>5000</v>
      </c>
      <c r="U459" s="13" t="s">
        <v>44</v>
      </c>
      <c r="V459" s="13" t="s">
        <v>89</v>
      </c>
      <c r="W459" s="12">
        <v>10</v>
      </c>
      <c r="X459" s="33" t="str">
        <f>HYPERLINK("https://www.alpinabook.ru/catalog/book-retsept-schastya","ссылка на книгу")</f>
        <v>ссылка на книгу</v>
      </c>
      <c r="Y459" s="34" t="str">
        <f>HYPERLINK("https://api-enni.alpina.ru/FilePrivilegesApproval/34","https://api-enni.alpina.ru/FilePrivilegesApproval/34")</f>
        <v>https://api-enni.alpina.ru/FilePrivilegesApproval/34</v>
      </c>
      <c r="Z459" s="13"/>
      <c r="AT459" s="1">
        <f t="shared" si="50"/>
        <v>0</v>
      </c>
      <c r="AU459" s="1">
        <f t="shared" si="51"/>
        <v>0</v>
      </c>
      <c r="AV459" s="1">
        <f t="shared" si="52"/>
        <v>0</v>
      </c>
      <c r="AW459" s="1">
        <f t="shared" si="53"/>
        <v>0</v>
      </c>
      <c r="AX459" s="1">
        <f t="shared" si="54"/>
        <v>0</v>
      </c>
    </row>
    <row r="460" spans="1:50" s="1" customFormat="1" ht="24.95" customHeight="1" outlineLevel="3" x14ac:dyDescent="0.2">
      <c r="A460" s="11"/>
      <c r="B460" s="12">
        <v>590</v>
      </c>
      <c r="C460" s="12">
        <v>840</v>
      </c>
      <c r="D460" s="12">
        <v>24534</v>
      </c>
      <c r="E460" s="13" t="s">
        <v>1529</v>
      </c>
      <c r="F460" s="13" t="s">
        <v>1530</v>
      </c>
      <c r="G460" s="13" t="s">
        <v>56</v>
      </c>
      <c r="H460" s="13"/>
      <c r="I460" s="12">
        <v>2024</v>
      </c>
      <c r="J460" s="13" t="s">
        <v>1531</v>
      </c>
      <c r="K460" s="12">
        <v>9785961442755</v>
      </c>
      <c r="L460" s="13" t="s">
        <v>1532</v>
      </c>
      <c r="M460" s="12">
        <v>376</v>
      </c>
      <c r="N460" s="14">
        <v>0.46</v>
      </c>
      <c r="O460" s="12">
        <v>140</v>
      </c>
      <c r="P460" s="12">
        <v>210</v>
      </c>
      <c r="Q460" s="12">
        <v>12</v>
      </c>
      <c r="R460" s="13" t="s">
        <v>43</v>
      </c>
      <c r="S460" s="13"/>
      <c r="T460" s="15">
        <v>3000</v>
      </c>
      <c r="U460" s="13" t="s">
        <v>44</v>
      </c>
      <c r="V460" s="13" t="s">
        <v>59</v>
      </c>
      <c r="W460" s="12">
        <v>10</v>
      </c>
      <c r="X460" s="33" t="str">
        <f>HYPERLINK("https://www.alpinabook.ru/catalog/book-s-uma-soyti","ссылка на книгу")</f>
        <v>ссылка на книгу</v>
      </c>
      <c r="Y460" s="34" t="str">
        <f>HYPERLINK("https://api-enni.alpina.ru/FilePrivilegesApproval/153","https://api-enni.alpina.ru/FilePrivilegesApproval/153")</f>
        <v>https://api-enni.alpina.ru/FilePrivilegesApproval/153</v>
      </c>
      <c r="Z460" s="13"/>
      <c r="AT460" s="1">
        <f t="shared" si="50"/>
        <v>0</v>
      </c>
      <c r="AU460" s="1">
        <f t="shared" si="51"/>
        <v>0</v>
      </c>
      <c r="AV460" s="1">
        <f t="shared" si="52"/>
        <v>0</v>
      </c>
      <c r="AW460" s="1">
        <f t="shared" si="53"/>
        <v>0</v>
      </c>
      <c r="AX460" s="1">
        <f t="shared" si="54"/>
        <v>0</v>
      </c>
    </row>
    <row r="461" spans="1:50" s="1" customFormat="1" ht="24.95" customHeight="1" outlineLevel="3" x14ac:dyDescent="0.2">
      <c r="A461" s="11"/>
      <c r="B461" s="12">
        <v>300</v>
      </c>
      <c r="C461" s="12">
        <v>540</v>
      </c>
      <c r="D461" s="12">
        <v>28567</v>
      </c>
      <c r="E461" s="13" t="s">
        <v>1073</v>
      </c>
      <c r="F461" s="13" t="s">
        <v>1533</v>
      </c>
      <c r="G461" s="13" t="s">
        <v>56</v>
      </c>
      <c r="H461" s="13" t="s">
        <v>40</v>
      </c>
      <c r="I461" s="12">
        <v>2024</v>
      </c>
      <c r="J461" s="13" t="s">
        <v>1534</v>
      </c>
      <c r="K461" s="12">
        <v>9785961489439</v>
      </c>
      <c r="L461" s="13" t="s">
        <v>1535</v>
      </c>
      <c r="M461" s="12">
        <v>48</v>
      </c>
      <c r="N461" s="14">
        <v>0.12</v>
      </c>
      <c r="O461" s="12">
        <v>120</v>
      </c>
      <c r="P461" s="12">
        <v>170</v>
      </c>
      <c r="Q461" s="12">
        <v>40</v>
      </c>
      <c r="R461" s="13" t="s">
        <v>731</v>
      </c>
      <c r="S461" s="13"/>
      <c r="T461" s="15">
        <v>4000</v>
      </c>
      <c r="U461" s="13" t="s">
        <v>268</v>
      </c>
      <c r="V461" s="13" t="s">
        <v>64</v>
      </c>
      <c r="W461" s="12">
        <v>10</v>
      </c>
      <c r="X461" s="33" t="str">
        <f>HYPERLINK("https://www.alpinabook.ru/catalog/book-7-navykov-vysokoeffektivnykh-lyudey-kratkaya-versia","ссылка на книгу")</f>
        <v>ссылка на книгу</v>
      </c>
      <c r="Y461" s="34" t="str">
        <f>HYPERLINK("https://api-enni.alpina.ru/FilePrivilegesApproval/132","https://api-enni.alpina.ru/FilePrivilegesApproval/132")</f>
        <v>https://api-enni.alpina.ru/FilePrivilegesApproval/132</v>
      </c>
      <c r="Z461" s="13"/>
      <c r="AT461" s="1">
        <f t="shared" si="50"/>
        <v>0</v>
      </c>
      <c r="AU461" s="1">
        <f t="shared" si="51"/>
        <v>0</v>
      </c>
      <c r="AV461" s="1">
        <f t="shared" si="52"/>
        <v>0</v>
      </c>
      <c r="AW461" s="1">
        <f t="shared" si="53"/>
        <v>0</v>
      </c>
      <c r="AX461" s="1">
        <f t="shared" si="54"/>
        <v>0</v>
      </c>
    </row>
    <row r="462" spans="1:50" s="1" customFormat="1" ht="24.95" customHeight="1" outlineLevel="3" x14ac:dyDescent="0.2">
      <c r="A462" s="11"/>
      <c r="B462" s="12">
        <v>290</v>
      </c>
      <c r="C462" s="12">
        <v>440</v>
      </c>
      <c r="D462" s="12">
        <v>30755</v>
      </c>
      <c r="E462" s="13" t="s">
        <v>1073</v>
      </c>
      <c r="F462" s="13" t="s">
        <v>1536</v>
      </c>
      <c r="G462" s="13" t="s">
        <v>56</v>
      </c>
      <c r="H462" s="13" t="s">
        <v>40</v>
      </c>
      <c r="I462" s="12">
        <v>2024</v>
      </c>
      <c r="J462" s="13" t="s">
        <v>1537</v>
      </c>
      <c r="K462" s="12">
        <v>9785961496437</v>
      </c>
      <c r="L462" s="13" t="s">
        <v>1538</v>
      </c>
      <c r="M462" s="12">
        <v>96</v>
      </c>
      <c r="N462" s="14">
        <v>0.09</v>
      </c>
      <c r="O462" s="12">
        <v>120</v>
      </c>
      <c r="P462" s="12">
        <v>170</v>
      </c>
      <c r="Q462" s="12">
        <v>34</v>
      </c>
      <c r="R462" s="13" t="s">
        <v>75</v>
      </c>
      <c r="S462" s="13" t="s">
        <v>1121</v>
      </c>
      <c r="T462" s="15">
        <v>2000</v>
      </c>
      <c r="U462" s="13" t="s">
        <v>44</v>
      </c>
      <c r="V462" s="13" t="s">
        <v>64</v>
      </c>
      <c r="W462" s="12">
        <v>10</v>
      </c>
      <c r="X462" s="33" t="str">
        <f>HYPERLINK("https://www.alpinabook.ru/catalog/book-7-navykov-effektivnykh-menedzherov","ссылка на книгу")</f>
        <v>ссылка на книгу</v>
      </c>
      <c r="Y462" s="34" t="str">
        <f>HYPERLINK("https://api-enni.alpina.ru/FilePrivilegesApproval/405","https://api-enni.alpina.ru/FilePrivilegesApproval/405")</f>
        <v>https://api-enni.alpina.ru/FilePrivilegesApproval/405</v>
      </c>
      <c r="Z462" s="13"/>
      <c r="AT462" s="1">
        <f t="shared" si="50"/>
        <v>0</v>
      </c>
      <c r="AU462" s="1">
        <f t="shared" si="51"/>
        <v>0</v>
      </c>
      <c r="AV462" s="1">
        <f t="shared" si="52"/>
        <v>0</v>
      </c>
      <c r="AW462" s="1">
        <f t="shared" si="53"/>
        <v>0</v>
      </c>
      <c r="AX462" s="1">
        <f t="shared" si="54"/>
        <v>0</v>
      </c>
    </row>
    <row r="463" spans="1:50" s="1" customFormat="1" ht="24.95" customHeight="1" outlineLevel="3" x14ac:dyDescent="0.2">
      <c r="A463" s="11"/>
      <c r="B463" s="12">
        <v>590</v>
      </c>
      <c r="C463" s="12">
        <v>840</v>
      </c>
      <c r="D463" s="12">
        <v>28717</v>
      </c>
      <c r="E463" s="13" t="s">
        <v>1539</v>
      </c>
      <c r="F463" s="13" t="s">
        <v>1540</v>
      </c>
      <c r="G463" s="13" t="s">
        <v>56</v>
      </c>
      <c r="H463" s="13"/>
      <c r="I463" s="12">
        <v>2025</v>
      </c>
      <c r="J463" s="13" t="s">
        <v>1541</v>
      </c>
      <c r="K463" s="12">
        <v>9785961489811</v>
      </c>
      <c r="L463" s="13" t="s">
        <v>1542</v>
      </c>
      <c r="M463" s="12">
        <v>392</v>
      </c>
      <c r="N463" s="14">
        <v>0.48</v>
      </c>
      <c r="O463" s="12">
        <v>140</v>
      </c>
      <c r="P463" s="12">
        <v>210</v>
      </c>
      <c r="Q463" s="12">
        <v>12</v>
      </c>
      <c r="R463" s="13" t="s">
        <v>43</v>
      </c>
      <c r="S463" s="13"/>
      <c r="T463" s="15">
        <v>3000</v>
      </c>
      <c r="U463" s="13" t="s">
        <v>44</v>
      </c>
      <c r="V463" s="13" t="s">
        <v>45</v>
      </c>
      <c r="W463" s="12">
        <v>10</v>
      </c>
      <c r="X463" s="33" t="str">
        <f>HYPERLINK("https://www.alpinabook.ru/catalog/book-sila-arkhetipov","ссылка на книгу")</f>
        <v>ссылка на книгу</v>
      </c>
      <c r="Y463" s="34" t="str">
        <f>HYPERLINK("https://api-enni.alpina.ru/FilePrivilegesApproval/758","https://api-enni.alpina.ru/FilePrivilegesApproval/758")</f>
        <v>https://api-enni.alpina.ru/FilePrivilegesApproval/758</v>
      </c>
      <c r="Z463" s="13" t="s">
        <v>151</v>
      </c>
      <c r="AT463" s="1">
        <f t="shared" si="50"/>
        <v>0</v>
      </c>
      <c r="AU463" s="1">
        <f t="shared" si="51"/>
        <v>0</v>
      </c>
      <c r="AV463" s="1">
        <f t="shared" si="52"/>
        <v>0</v>
      </c>
      <c r="AW463" s="1">
        <f t="shared" si="53"/>
        <v>0</v>
      </c>
      <c r="AX463" s="1">
        <f t="shared" si="54"/>
        <v>0</v>
      </c>
    </row>
    <row r="464" spans="1:50" s="1" customFormat="1" ht="24.95" customHeight="1" outlineLevel="3" x14ac:dyDescent="0.2">
      <c r="A464" s="26"/>
      <c r="B464" s="27">
        <v>540</v>
      </c>
      <c r="C464" s="27">
        <v>790</v>
      </c>
      <c r="D464" s="27">
        <v>22823</v>
      </c>
      <c r="E464" s="29" t="s">
        <v>1543</v>
      </c>
      <c r="F464" s="29" t="s">
        <v>1544</v>
      </c>
      <c r="G464" s="29" t="s">
        <v>97</v>
      </c>
      <c r="H464" s="29" t="s">
        <v>40</v>
      </c>
      <c r="I464" s="27">
        <v>2023</v>
      </c>
      <c r="J464" s="29" t="s">
        <v>1545</v>
      </c>
      <c r="K464" s="27">
        <v>9785907394643</v>
      </c>
      <c r="L464" s="29" t="s">
        <v>1546</v>
      </c>
      <c r="M464" s="27">
        <v>156</v>
      </c>
      <c r="N464" s="30">
        <v>0.3</v>
      </c>
      <c r="O464" s="27">
        <v>146</v>
      </c>
      <c r="P464" s="27">
        <v>216</v>
      </c>
      <c r="Q464" s="27">
        <v>10</v>
      </c>
      <c r="R464" s="29" t="s">
        <v>43</v>
      </c>
      <c r="S464" s="29"/>
      <c r="T464" s="28">
        <v>1000</v>
      </c>
      <c r="U464" s="29" t="s">
        <v>52</v>
      </c>
      <c r="V464" s="29" t="s">
        <v>59</v>
      </c>
      <c r="W464" s="27">
        <v>10</v>
      </c>
      <c r="X464" s="37" t="str">
        <f>HYPERLINK("https://www.alpinabook.ru/catalog/book-sila-v-spokoystvii","ссылка на книгу")</f>
        <v>ссылка на книгу</v>
      </c>
      <c r="Y464" s="38" t="str">
        <f>HYPERLINK("https://api-enni.alpina.ru/FilePrivilegesApproval/129","https://api-enni.alpina.ru/FilePrivilegesApproval/129")</f>
        <v>https://api-enni.alpina.ru/FilePrivilegesApproval/129</v>
      </c>
      <c r="Z464" s="29"/>
      <c r="AT464" s="1">
        <f t="shared" si="50"/>
        <v>0</v>
      </c>
      <c r="AU464" s="1">
        <f t="shared" si="51"/>
        <v>0</v>
      </c>
      <c r="AV464" s="1">
        <f t="shared" si="52"/>
        <v>0</v>
      </c>
      <c r="AW464" s="1">
        <f t="shared" si="53"/>
        <v>0</v>
      </c>
      <c r="AX464" s="1">
        <f t="shared" si="54"/>
        <v>0</v>
      </c>
    </row>
    <row r="465" spans="1:50" s="1" customFormat="1" ht="24.95" customHeight="1" outlineLevel="3" x14ac:dyDescent="0.2">
      <c r="A465" s="26"/>
      <c r="B465" s="27">
        <v>590</v>
      </c>
      <c r="C465" s="27">
        <v>840</v>
      </c>
      <c r="D465" s="27">
        <v>25955</v>
      </c>
      <c r="E465" s="29" t="s">
        <v>1322</v>
      </c>
      <c r="F465" s="29" t="s">
        <v>1547</v>
      </c>
      <c r="G465" s="29" t="s">
        <v>56</v>
      </c>
      <c r="H465" s="29"/>
      <c r="I465" s="27">
        <v>2022</v>
      </c>
      <c r="J465" s="29" t="s">
        <v>1548</v>
      </c>
      <c r="K465" s="27">
        <v>9785961479119</v>
      </c>
      <c r="L465" s="29" t="s">
        <v>1549</v>
      </c>
      <c r="M465" s="27">
        <v>214</v>
      </c>
      <c r="N465" s="30">
        <v>0.35</v>
      </c>
      <c r="O465" s="27">
        <v>146</v>
      </c>
      <c r="P465" s="27">
        <v>216</v>
      </c>
      <c r="Q465" s="27">
        <v>18</v>
      </c>
      <c r="R465" s="29" t="s">
        <v>43</v>
      </c>
      <c r="S465" s="29"/>
      <c r="T465" s="28">
        <v>2000</v>
      </c>
      <c r="U465" s="29" t="s">
        <v>52</v>
      </c>
      <c r="V465" s="29" t="s">
        <v>45</v>
      </c>
      <c r="W465" s="27">
        <v>10</v>
      </c>
      <c r="X465" s="37" t="str">
        <f>HYPERLINK("https://www.alpinabook.ru/catalog/book-sila-krizisa","ссылка на книгу")</f>
        <v>ссылка на книгу</v>
      </c>
      <c r="Y465" s="38" t="str">
        <f>HYPERLINK("https://api-enni.alpina.ru/FilePrivilegesApproval/158","https://api-enni.alpina.ru/FilePrivilegesApproval/158")</f>
        <v>https://api-enni.alpina.ru/FilePrivilegesApproval/158</v>
      </c>
      <c r="Z465" s="29"/>
      <c r="AT465" s="1">
        <f t="shared" si="50"/>
        <v>0</v>
      </c>
      <c r="AU465" s="1">
        <f t="shared" si="51"/>
        <v>0</v>
      </c>
      <c r="AV465" s="1">
        <f t="shared" si="52"/>
        <v>0</v>
      </c>
      <c r="AW465" s="1">
        <f t="shared" si="53"/>
        <v>0</v>
      </c>
      <c r="AX465" s="1">
        <f t="shared" si="54"/>
        <v>0</v>
      </c>
    </row>
    <row r="466" spans="1:50" s="1" customFormat="1" ht="24.95" customHeight="1" outlineLevel="3" x14ac:dyDescent="0.2">
      <c r="A466" s="11"/>
      <c r="B466" s="12">
        <v>540</v>
      </c>
      <c r="C466" s="12">
        <v>790</v>
      </c>
      <c r="D466" s="12">
        <v>25055</v>
      </c>
      <c r="E466" s="13" t="s">
        <v>1550</v>
      </c>
      <c r="F466" s="13" t="s">
        <v>1551</v>
      </c>
      <c r="G466" s="13" t="s">
        <v>56</v>
      </c>
      <c r="H466" s="13" t="s">
        <v>40</v>
      </c>
      <c r="I466" s="12">
        <v>2024</v>
      </c>
      <c r="J466" s="13" t="s">
        <v>1552</v>
      </c>
      <c r="K466" s="12">
        <v>9785961476743</v>
      </c>
      <c r="L466" s="13" t="s">
        <v>1553</v>
      </c>
      <c r="M466" s="12">
        <v>272</v>
      </c>
      <c r="N466" s="14">
        <v>0.45</v>
      </c>
      <c r="O466" s="12">
        <v>150</v>
      </c>
      <c r="P466" s="12">
        <v>220</v>
      </c>
      <c r="Q466" s="12">
        <v>12</v>
      </c>
      <c r="R466" s="13" t="s">
        <v>43</v>
      </c>
      <c r="S466" s="13"/>
      <c r="T466" s="15">
        <v>2000</v>
      </c>
      <c r="U466" s="13" t="s">
        <v>52</v>
      </c>
      <c r="V466" s="13" t="s">
        <v>59</v>
      </c>
      <c r="W466" s="12">
        <v>10</v>
      </c>
      <c r="X466" s="33" t="str">
        <f>HYPERLINK("https://www.alpinabook.ru/catalog/book-sila-sozhaleniy","ссылка на книгу")</f>
        <v>ссылка на книгу</v>
      </c>
      <c r="Y466" s="34" t="str">
        <f>HYPERLINK("https://api-enni.alpina.ru/FilePrivilegesApproval/326","https://api-enni.alpina.ru/FilePrivilegesApproval/326")</f>
        <v>https://api-enni.alpina.ru/FilePrivilegesApproval/326</v>
      </c>
      <c r="Z466" s="13"/>
      <c r="AT466" s="1">
        <f t="shared" si="50"/>
        <v>0</v>
      </c>
      <c r="AU466" s="1">
        <f t="shared" si="51"/>
        <v>0</v>
      </c>
      <c r="AV466" s="1">
        <f t="shared" si="52"/>
        <v>0</v>
      </c>
      <c r="AW466" s="1">
        <f t="shared" si="53"/>
        <v>0</v>
      </c>
      <c r="AX466" s="1">
        <f t="shared" si="54"/>
        <v>0</v>
      </c>
    </row>
    <row r="467" spans="1:50" s="1" customFormat="1" ht="24.95" customHeight="1" outlineLevel="3" x14ac:dyDescent="0.2">
      <c r="A467" s="11"/>
      <c r="B467" s="12">
        <v>590</v>
      </c>
      <c r="C467" s="12">
        <v>590</v>
      </c>
      <c r="D467" s="12">
        <v>23352</v>
      </c>
      <c r="E467" s="13" t="s">
        <v>1554</v>
      </c>
      <c r="F467" s="13" t="s">
        <v>1555</v>
      </c>
      <c r="G467" s="13" t="s">
        <v>56</v>
      </c>
      <c r="H467" s="13"/>
      <c r="I467" s="12">
        <v>2022</v>
      </c>
      <c r="J467" s="13" t="s">
        <v>1556</v>
      </c>
      <c r="K467" s="12">
        <v>9785961473919</v>
      </c>
      <c r="L467" s="13" t="s">
        <v>1557</v>
      </c>
      <c r="M467" s="12">
        <v>196</v>
      </c>
      <c r="N467" s="14">
        <v>0.37</v>
      </c>
      <c r="O467" s="12">
        <v>146</v>
      </c>
      <c r="P467" s="12">
        <v>216</v>
      </c>
      <c r="Q467" s="12">
        <v>14</v>
      </c>
      <c r="R467" s="13" t="s">
        <v>43</v>
      </c>
      <c r="S467" s="13"/>
      <c r="T467" s="15">
        <v>2000</v>
      </c>
      <c r="U467" s="13" t="s">
        <v>52</v>
      </c>
      <c r="V467" s="13" t="s">
        <v>89</v>
      </c>
      <c r="W467" s="12">
        <v>10</v>
      </c>
      <c r="X467" s="33" t="str">
        <f>HYPERLINK("https://www.alpinabook.ru/catalog/book-sistema-schastya","ссылка на книгу")</f>
        <v>ссылка на книгу</v>
      </c>
      <c r="Y467" s="34" t="str">
        <f>HYPERLINK("https://api-enni.alpina.ru/FilePrivilegesApproval/121","https://api-enni.alpina.ru/FilePrivilegesApproval/121")</f>
        <v>https://api-enni.alpina.ru/FilePrivilegesApproval/121</v>
      </c>
      <c r="Z467" s="13"/>
      <c r="AT467" s="1">
        <f t="shared" si="50"/>
        <v>0</v>
      </c>
      <c r="AU467" s="1">
        <f t="shared" si="51"/>
        <v>0</v>
      </c>
      <c r="AV467" s="1">
        <f t="shared" si="52"/>
        <v>0</v>
      </c>
      <c r="AW467" s="1">
        <f t="shared" si="53"/>
        <v>0</v>
      </c>
      <c r="AX467" s="1">
        <f t="shared" si="54"/>
        <v>0</v>
      </c>
    </row>
    <row r="468" spans="1:50" s="1" customFormat="1" ht="24.95" customHeight="1" outlineLevel="3" x14ac:dyDescent="0.2">
      <c r="A468" s="11"/>
      <c r="B468" s="12">
        <v>890</v>
      </c>
      <c r="C468" s="15">
        <v>1199</v>
      </c>
      <c r="D468" s="12">
        <v>1506</v>
      </c>
      <c r="E468" s="13" t="s">
        <v>1558</v>
      </c>
      <c r="F468" s="13" t="s">
        <v>1559</v>
      </c>
      <c r="G468" s="13" t="s">
        <v>56</v>
      </c>
      <c r="H468" s="13" t="s">
        <v>40</v>
      </c>
      <c r="I468" s="12">
        <v>2025</v>
      </c>
      <c r="J468" s="13" t="s">
        <v>1560</v>
      </c>
      <c r="K468" s="12">
        <v>9785961467680</v>
      </c>
      <c r="L468" s="13" t="s">
        <v>1561</v>
      </c>
      <c r="M468" s="12">
        <v>432</v>
      </c>
      <c r="N468" s="14">
        <v>0.5</v>
      </c>
      <c r="O468" s="12">
        <v>141</v>
      </c>
      <c r="P468" s="12">
        <v>210</v>
      </c>
      <c r="Q468" s="12">
        <v>5</v>
      </c>
      <c r="R468" s="13" t="s">
        <v>43</v>
      </c>
      <c r="S468" s="13"/>
      <c r="T468" s="15">
        <v>1000</v>
      </c>
      <c r="U468" s="13" t="s">
        <v>44</v>
      </c>
      <c r="V468" s="13" t="s">
        <v>64</v>
      </c>
      <c r="W468" s="12">
        <v>10</v>
      </c>
      <c r="X468" s="33" t="str">
        <f>HYPERLINK("https://www.alpinabook.ru/catalog/book-skorost-doveriya","ссылка на книгу")</f>
        <v>ссылка на книгу</v>
      </c>
      <c r="Y468" s="34" t="str">
        <f>HYPERLINK("https://api-enni.alpina.ru/FilePrivilegesApproval/2","https://api-enni.alpina.ru/FilePrivilegesApproval/2")</f>
        <v>https://api-enni.alpina.ru/FilePrivilegesApproval/2</v>
      </c>
      <c r="Z468" s="13" t="s">
        <v>405</v>
      </c>
      <c r="AT468" s="1">
        <f t="shared" si="50"/>
        <v>0</v>
      </c>
      <c r="AU468" s="1">
        <f t="shared" si="51"/>
        <v>0</v>
      </c>
      <c r="AV468" s="1">
        <f t="shared" si="52"/>
        <v>0</v>
      </c>
      <c r="AW468" s="1">
        <f t="shared" si="53"/>
        <v>0</v>
      </c>
      <c r="AX468" s="1">
        <f t="shared" si="54"/>
        <v>0</v>
      </c>
    </row>
    <row r="469" spans="1:50" s="1" customFormat="1" ht="24.95" customHeight="1" outlineLevel="3" x14ac:dyDescent="0.2">
      <c r="A469" s="11"/>
      <c r="B469" s="12">
        <v>290</v>
      </c>
      <c r="C469" s="12">
        <v>440</v>
      </c>
      <c r="D469" s="12">
        <v>30117</v>
      </c>
      <c r="E469" s="13" t="s">
        <v>1562</v>
      </c>
      <c r="F469" s="13" t="s">
        <v>1563</v>
      </c>
      <c r="G469" s="13" t="s">
        <v>56</v>
      </c>
      <c r="H469" s="13" t="s">
        <v>40</v>
      </c>
      <c r="I469" s="12">
        <v>2024</v>
      </c>
      <c r="J469" s="13" t="s">
        <v>1564</v>
      </c>
      <c r="K469" s="12">
        <v>9785961494792</v>
      </c>
      <c r="L469" s="13" t="s">
        <v>1565</v>
      </c>
      <c r="M469" s="12">
        <v>284</v>
      </c>
      <c r="N469" s="14">
        <v>0.14000000000000001</v>
      </c>
      <c r="O469" s="12">
        <v>120</v>
      </c>
      <c r="P469" s="12">
        <v>170</v>
      </c>
      <c r="Q469" s="12">
        <v>20</v>
      </c>
      <c r="R469" s="13" t="s">
        <v>75</v>
      </c>
      <c r="S469" s="13" t="s">
        <v>76</v>
      </c>
      <c r="T469" s="15">
        <v>2000</v>
      </c>
      <c r="U469" s="13" t="s">
        <v>44</v>
      </c>
      <c r="V469" s="13" t="s">
        <v>64</v>
      </c>
      <c r="W469" s="12">
        <v>10</v>
      </c>
      <c r="X469" s="33" t="str">
        <f>HYPERLINK("https://www.alpinabook.ru/catalog/book-skrytye-motivy","ссылка на книгу")</f>
        <v>ссылка на книгу</v>
      </c>
      <c r="Y469" s="34" t="str">
        <f>HYPERLINK("https://api-enni.alpina.ru/FilePrivilegesApproval/371","https://api-enni.alpina.ru/FilePrivilegesApproval/371")</f>
        <v>https://api-enni.alpina.ru/FilePrivilegesApproval/371</v>
      </c>
      <c r="Z469" s="13"/>
      <c r="AT469" s="1">
        <f t="shared" si="50"/>
        <v>0</v>
      </c>
      <c r="AU469" s="1">
        <f t="shared" si="51"/>
        <v>0</v>
      </c>
      <c r="AV469" s="1">
        <f t="shared" si="52"/>
        <v>0</v>
      </c>
      <c r="AW469" s="1">
        <f t="shared" si="53"/>
        <v>0</v>
      </c>
      <c r="AX469" s="1">
        <f t="shared" si="54"/>
        <v>0</v>
      </c>
    </row>
    <row r="470" spans="1:50" s="1" customFormat="1" ht="24.95" customHeight="1" outlineLevel="3" x14ac:dyDescent="0.2">
      <c r="A470" s="11"/>
      <c r="B470" s="12">
        <v>290</v>
      </c>
      <c r="C470" s="12">
        <v>440</v>
      </c>
      <c r="D470" s="12">
        <v>27435</v>
      </c>
      <c r="E470" s="13" t="s">
        <v>945</v>
      </c>
      <c r="F470" s="13" t="s">
        <v>1566</v>
      </c>
      <c r="G470" s="13" t="s">
        <v>56</v>
      </c>
      <c r="H470" s="13" t="s">
        <v>947</v>
      </c>
      <c r="I470" s="12">
        <v>2025</v>
      </c>
      <c r="J470" s="13" t="s">
        <v>1567</v>
      </c>
      <c r="K470" s="12">
        <v>9785961485011</v>
      </c>
      <c r="L470" s="13" t="s">
        <v>1568</v>
      </c>
      <c r="M470" s="12">
        <v>172</v>
      </c>
      <c r="N470" s="14">
        <v>0.19</v>
      </c>
      <c r="O470" s="12">
        <v>130</v>
      </c>
      <c r="P470" s="12">
        <v>200</v>
      </c>
      <c r="Q470" s="12">
        <v>28</v>
      </c>
      <c r="R470" s="13" t="s">
        <v>82</v>
      </c>
      <c r="S470" s="13" t="s">
        <v>950</v>
      </c>
      <c r="T470" s="15">
        <v>1500</v>
      </c>
      <c r="U470" s="13" t="s">
        <v>44</v>
      </c>
      <c r="V470" s="13" t="s">
        <v>45</v>
      </c>
      <c r="W470" s="12">
        <v>10</v>
      </c>
      <c r="X470" s="33" t="str">
        <f>HYPERLINK("https://www.alpinabook.ru/catalog/book-skuchayu-po-tebe","ссылка на книгу")</f>
        <v>ссылка на книгу</v>
      </c>
      <c r="Y470" s="34" t="str">
        <f>HYPERLINK("https://api-enni.alpina.ru/FilePrivilegesApproval/200","https://api-enni.alpina.ru/FilePrivilegesApproval/200")</f>
        <v>https://api-enni.alpina.ru/FilePrivilegesApproval/200</v>
      </c>
      <c r="Z470" s="13"/>
      <c r="AT470" s="1">
        <f t="shared" si="50"/>
        <v>0</v>
      </c>
      <c r="AU470" s="1">
        <f t="shared" si="51"/>
        <v>0</v>
      </c>
      <c r="AV470" s="1">
        <f t="shared" si="52"/>
        <v>0</v>
      </c>
      <c r="AW470" s="1">
        <f t="shared" si="53"/>
        <v>0</v>
      </c>
      <c r="AX470" s="1">
        <f t="shared" si="54"/>
        <v>0</v>
      </c>
    </row>
    <row r="471" spans="1:50" s="1" customFormat="1" ht="24.95" customHeight="1" outlineLevel="3" x14ac:dyDescent="0.2">
      <c r="A471" s="11"/>
      <c r="B471" s="12">
        <v>540</v>
      </c>
      <c r="C471" s="12">
        <v>790</v>
      </c>
      <c r="D471" s="12">
        <v>23459</v>
      </c>
      <c r="E471" s="13" t="s">
        <v>1569</v>
      </c>
      <c r="F471" s="13" t="s">
        <v>1570</v>
      </c>
      <c r="G471" s="13" t="s">
        <v>56</v>
      </c>
      <c r="H471" s="13"/>
      <c r="I471" s="12">
        <v>2023</v>
      </c>
      <c r="J471" s="13" t="s">
        <v>1571</v>
      </c>
      <c r="K471" s="12">
        <v>9785961488913</v>
      </c>
      <c r="L471" s="13" t="s">
        <v>1572</v>
      </c>
      <c r="M471" s="12">
        <v>248</v>
      </c>
      <c r="N471" s="14">
        <v>0.3</v>
      </c>
      <c r="O471" s="12">
        <v>140</v>
      </c>
      <c r="P471" s="12">
        <v>210</v>
      </c>
      <c r="Q471" s="12">
        <v>16</v>
      </c>
      <c r="R471" s="13" t="s">
        <v>43</v>
      </c>
      <c r="S471" s="13"/>
      <c r="T471" s="15">
        <v>2000</v>
      </c>
      <c r="U471" s="13" t="s">
        <v>44</v>
      </c>
      <c r="V471" s="13" t="s">
        <v>45</v>
      </c>
      <c r="W471" s="12">
        <v>10</v>
      </c>
      <c r="X471" s="33" t="str">
        <f>HYPERLINK("https://www.alpinabook.ru/catalog/book-smert-v-bolshom-gorode","ссылка на книгу")</f>
        <v>ссылка на книгу</v>
      </c>
      <c r="Y471" s="34" t="str">
        <f>HYPERLINK("https://api-enni.alpina.ru/FilePrivilegesApproval/221","https://api-enni.alpina.ru/FilePrivilegesApproval/221")</f>
        <v>https://api-enni.alpina.ru/FilePrivilegesApproval/221</v>
      </c>
      <c r="Z471" s="13"/>
      <c r="AT471" s="1">
        <f t="shared" si="50"/>
        <v>0</v>
      </c>
      <c r="AU471" s="1">
        <f t="shared" si="51"/>
        <v>0</v>
      </c>
      <c r="AV471" s="1">
        <f t="shared" si="52"/>
        <v>0</v>
      </c>
      <c r="AW471" s="1">
        <f t="shared" si="53"/>
        <v>0</v>
      </c>
      <c r="AX471" s="1">
        <f t="shared" si="54"/>
        <v>0</v>
      </c>
    </row>
    <row r="472" spans="1:50" s="1" customFormat="1" ht="24.95" customHeight="1" outlineLevel="3" x14ac:dyDescent="0.2">
      <c r="A472" s="11"/>
      <c r="B472" s="12">
        <v>590</v>
      </c>
      <c r="C472" s="12">
        <v>840</v>
      </c>
      <c r="D472" s="12">
        <v>29820</v>
      </c>
      <c r="E472" s="13" t="s">
        <v>1573</v>
      </c>
      <c r="F472" s="13" t="s">
        <v>1574</v>
      </c>
      <c r="G472" s="13" t="s">
        <v>56</v>
      </c>
      <c r="H472" s="13"/>
      <c r="I472" s="12">
        <v>2025</v>
      </c>
      <c r="J472" s="13" t="s">
        <v>1575</v>
      </c>
      <c r="K472" s="12">
        <v>9785961493986</v>
      </c>
      <c r="L472" s="13" t="s">
        <v>1576</v>
      </c>
      <c r="M472" s="12">
        <v>301</v>
      </c>
      <c r="N472" s="14">
        <v>0.47</v>
      </c>
      <c r="O472" s="12">
        <v>150</v>
      </c>
      <c r="P472" s="12">
        <v>220</v>
      </c>
      <c r="Q472" s="12">
        <v>6</v>
      </c>
      <c r="R472" s="13" t="s">
        <v>43</v>
      </c>
      <c r="S472" s="13"/>
      <c r="T472" s="15">
        <v>1000</v>
      </c>
      <c r="U472" s="13" t="s">
        <v>52</v>
      </c>
      <c r="V472" s="13" t="s">
        <v>45</v>
      </c>
      <c r="W472" s="12">
        <v>10</v>
      </c>
      <c r="X472" s="33" t="str">
        <f>HYPERLINK("https://www.alpinabook.ru/catalog/book-so-mnoy-vse-v-poryadke","ссылка на книгу")</f>
        <v>ссылка на книгу</v>
      </c>
      <c r="Y472" s="34" t="str">
        <f>HYPERLINK("https://api-enni.alpina.ru/FilePrivilegesApproval/758","https://api-enni.alpina.ru/FilePrivilegesApproval/758")</f>
        <v>https://api-enni.alpina.ru/FilePrivilegesApproval/758</v>
      </c>
      <c r="Z472" s="13" t="s">
        <v>1222</v>
      </c>
      <c r="AT472" s="1">
        <f t="shared" si="50"/>
        <v>0</v>
      </c>
      <c r="AU472" s="1">
        <f t="shared" si="51"/>
        <v>0</v>
      </c>
      <c r="AV472" s="1">
        <f t="shared" si="52"/>
        <v>0</v>
      </c>
      <c r="AW472" s="1">
        <f t="shared" si="53"/>
        <v>0</v>
      </c>
      <c r="AX472" s="1">
        <f t="shared" si="54"/>
        <v>0</v>
      </c>
    </row>
    <row r="473" spans="1:50" s="1" customFormat="1" ht="24.95" customHeight="1" outlineLevel="3" x14ac:dyDescent="0.2">
      <c r="A473" s="11"/>
      <c r="B473" s="12">
        <v>540</v>
      </c>
      <c r="C473" s="12">
        <v>790</v>
      </c>
      <c r="D473" s="12">
        <v>27950</v>
      </c>
      <c r="E473" s="13" t="s">
        <v>1289</v>
      </c>
      <c r="F473" s="13" t="s">
        <v>1577</v>
      </c>
      <c r="G473" s="13" t="s">
        <v>56</v>
      </c>
      <c r="H473" s="13"/>
      <c r="I473" s="12">
        <v>2024</v>
      </c>
      <c r="J473" s="13" t="s">
        <v>1578</v>
      </c>
      <c r="K473" s="12">
        <v>9785961486902</v>
      </c>
      <c r="L473" s="13" t="s">
        <v>1579</v>
      </c>
      <c r="M473" s="12">
        <v>224</v>
      </c>
      <c r="N473" s="14">
        <v>0.45</v>
      </c>
      <c r="O473" s="12">
        <v>150</v>
      </c>
      <c r="P473" s="12">
        <v>220</v>
      </c>
      <c r="Q473" s="12">
        <v>14</v>
      </c>
      <c r="R473" s="13" t="s">
        <v>43</v>
      </c>
      <c r="S473" s="13"/>
      <c r="T473" s="15">
        <v>3000</v>
      </c>
      <c r="U473" s="13" t="s">
        <v>52</v>
      </c>
      <c r="V473" s="13" t="s">
        <v>45</v>
      </c>
      <c r="W473" s="12">
        <v>10</v>
      </c>
      <c r="X473" s="33" t="str">
        <f>HYPERLINK("https://www.alpinabook.ru/catalog/book-sovershenstvo-kotoroe-meshaet-zhit","ссылка на книгу")</f>
        <v>ссылка на книгу</v>
      </c>
      <c r="Y473" s="34" t="str">
        <f>HYPERLINK("https://api-enni.alpina.ru/FilePrivilegesApproval/396","https://api-enni.alpina.ru/FilePrivilegesApproval/396")</f>
        <v>https://api-enni.alpina.ru/FilePrivilegesApproval/396</v>
      </c>
      <c r="Z473" s="13"/>
      <c r="AT473" s="1">
        <f t="shared" si="50"/>
        <v>0</v>
      </c>
      <c r="AU473" s="1">
        <f t="shared" si="51"/>
        <v>0</v>
      </c>
      <c r="AV473" s="1">
        <f t="shared" si="52"/>
        <v>0</v>
      </c>
      <c r="AW473" s="1">
        <f t="shared" si="53"/>
        <v>0</v>
      </c>
      <c r="AX473" s="1">
        <f t="shared" si="54"/>
        <v>0</v>
      </c>
    </row>
    <row r="474" spans="1:50" s="1" customFormat="1" ht="24.95" customHeight="1" outlineLevel="3" x14ac:dyDescent="0.2">
      <c r="A474" s="11"/>
      <c r="B474" s="12">
        <v>490</v>
      </c>
      <c r="C474" s="12">
        <v>740</v>
      </c>
      <c r="D474" s="12">
        <v>26598</v>
      </c>
      <c r="E474" s="13" t="s">
        <v>744</v>
      </c>
      <c r="F474" s="13" t="s">
        <v>745</v>
      </c>
      <c r="G474" s="13" t="s">
        <v>56</v>
      </c>
      <c r="H474" s="13"/>
      <c r="I474" s="12">
        <v>2025</v>
      </c>
      <c r="J474" s="13" t="s">
        <v>746</v>
      </c>
      <c r="K474" s="12">
        <v>9785961482386</v>
      </c>
      <c r="L474" s="13" t="s">
        <v>747</v>
      </c>
      <c r="M474" s="12">
        <v>254</v>
      </c>
      <c r="N474" s="14">
        <v>0.36</v>
      </c>
      <c r="O474" s="12">
        <v>150</v>
      </c>
      <c r="P474" s="12">
        <v>220</v>
      </c>
      <c r="Q474" s="12">
        <v>10</v>
      </c>
      <c r="R474" s="13" t="s">
        <v>43</v>
      </c>
      <c r="S474" s="13"/>
      <c r="T474" s="15">
        <v>1000</v>
      </c>
      <c r="U474" s="13" t="s">
        <v>52</v>
      </c>
      <c r="V474" s="13" t="s">
        <v>59</v>
      </c>
      <c r="W474" s="12">
        <v>10</v>
      </c>
      <c r="X474" s="33" t="str">
        <f>HYPERLINK("https://www.alpinabook.ru/catalog/book-stalin-zhil-v-nashey-kvartire","ссылка на книгу")</f>
        <v>ссылка на книгу</v>
      </c>
      <c r="Y474" s="34" t="str">
        <f>HYPERLINK("https://api-enni.alpina.ru/FilePrivilegesApproval/238","https://api-enni.alpina.ru/FilePrivilegesApproval/238")</f>
        <v>https://api-enni.alpina.ru/FilePrivilegesApproval/238</v>
      </c>
      <c r="Z474" s="13" t="s">
        <v>77</v>
      </c>
      <c r="AT474" s="1">
        <f t="shared" si="50"/>
        <v>0</v>
      </c>
      <c r="AU474" s="1">
        <f t="shared" si="51"/>
        <v>0</v>
      </c>
      <c r="AV474" s="1">
        <f t="shared" si="52"/>
        <v>0</v>
      </c>
      <c r="AW474" s="1">
        <f t="shared" si="53"/>
        <v>0</v>
      </c>
      <c r="AX474" s="1">
        <f t="shared" si="54"/>
        <v>0</v>
      </c>
    </row>
    <row r="475" spans="1:50" s="1" customFormat="1" ht="24.95" customHeight="1" outlineLevel="3" x14ac:dyDescent="0.2">
      <c r="A475" s="11"/>
      <c r="B475" s="12">
        <v>690</v>
      </c>
      <c r="C475" s="12">
        <v>990</v>
      </c>
      <c r="D475" s="12">
        <v>25754</v>
      </c>
      <c r="E475" s="13" t="s">
        <v>1580</v>
      </c>
      <c r="F475" s="13" t="s">
        <v>1581</v>
      </c>
      <c r="G475" s="13" t="s">
        <v>56</v>
      </c>
      <c r="H475" s="13" t="s">
        <v>40</v>
      </c>
      <c r="I475" s="12">
        <v>2024</v>
      </c>
      <c r="J475" s="13" t="s">
        <v>1582</v>
      </c>
      <c r="K475" s="12">
        <v>9785961478532</v>
      </c>
      <c r="L475" s="13" t="s">
        <v>1583</v>
      </c>
      <c r="M475" s="12">
        <v>232</v>
      </c>
      <c r="N475" s="14">
        <v>0.37</v>
      </c>
      <c r="O475" s="12">
        <v>150</v>
      </c>
      <c r="P475" s="12">
        <v>220</v>
      </c>
      <c r="Q475" s="12">
        <v>16</v>
      </c>
      <c r="R475" s="13" t="s">
        <v>43</v>
      </c>
      <c r="S475" s="13"/>
      <c r="T475" s="15">
        <v>4000</v>
      </c>
      <c r="U475" s="13" t="s">
        <v>52</v>
      </c>
      <c r="V475" s="13" t="s">
        <v>64</v>
      </c>
      <c r="W475" s="12">
        <v>10</v>
      </c>
      <c r="X475" s="33" t="str">
        <f>HYPERLINK("https://www.alpinabook.ru/catalog/book-stoiki-pobezhdayut","ссылка на книгу")</f>
        <v>ссылка на книгу</v>
      </c>
      <c r="Y475" s="34" t="str">
        <f>HYPERLINK("https://api-enni.alpina.ru/FilePrivilegesApproval/158","https://api-enni.alpina.ru/FilePrivilegesApproval/158")</f>
        <v>https://api-enni.alpina.ru/FilePrivilegesApproval/158</v>
      </c>
      <c r="Z475" s="13"/>
      <c r="AT475" s="1">
        <f t="shared" si="50"/>
        <v>0</v>
      </c>
      <c r="AU475" s="1">
        <f t="shared" si="51"/>
        <v>0</v>
      </c>
      <c r="AV475" s="1">
        <f t="shared" si="52"/>
        <v>0</v>
      </c>
      <c r="AW475" s="1">
        <f t="shared" si="53"/>
        <v>0</v>
      </c>
      <c r="AX475" s="1">
        <f t="shared" si="54"/>
        <v>0</v>
      </c>
    </row>
    <row r="476" spans="1:50" s="1" customFormat="1" ht="24.95" customHeight="1" outlineLevel="3" x14ac:dyDescent="0.2">
      <c r="A476" s="11"/>
      <c r="B476" s="12">
        <v>340</v>
      </c>
      <c r="C476" s="12">
        <v>540</v>
      </c>
      <c r="D476" s="12">
        <v>29785</v>
      </c>
      <c r="E476" s="13" t="s">
        <v>752</v>
      </c>
      <c r="F476" s="13" t="s">
        <v>753</v>
      </c>
      <c r="G476" s="13" t="s">
        <v>56</v>
      </c>
      <c r="H476" s="13" t="s">
        <v>40</v>
      </c>
      <c r="I476" s="12">
        <v>2025</v>
      </c>
      <c r="J476" s="13" t="s">
        <v>754</v>
      </c>
      <c r="K476" s="12">
        <v>9785961493887</v>
      </c>
      <c r="L476" s="13" t="s">
        <v>755</v>
      </c>
      <c r="M476" s="12">
        <v>380</v>
      </c>
      <c r="N476" s="14">
        <v>0.3</v>
      </c>
      <c r="O476" s="12">
        <v>120</v>
      </c>
      <c r="P476" s="12">
        <v>170</v>
      </c>
      <c r="Q476" s="12">
        <v>16</v>
      </c>
      <c r="R476" s="13" t="s">
        <v>75</v>
      </c>
      <c r="S476" s="13" t="s">
        <v>596</v>
      </c>
      <c r="T476" s="15">
        <v>2500</v>
      </c>
      <c r="U476" s="13" t="s">
        <v>44</v>
      </c>
      <c r="V476" s="13" t="s">
        <v>64</v>
      </c>
      <c r="W476" s="12">
        <v>10</v>
      </c>
      <c r="X476" s="33" t="str">
        <f>HYPERLINK("https://www.alpinabook.ru/catalog/book-strannaya-devochka-kotoraya-vlyubilas-v-mozg","ссылка на книгу")</f>
        <v>ссылка на книгу</v>
      </c>
      <c r="Y476" s="34" t="str">
        <f>HYPERLINK("https://api-enni.alpina.ru/FilePrivilegesApproval/156","https://api-enni.alpina.ru/FilePrivilegesApproval/156")</f>
        <v>https://api-enni.alpina.ru/FilePrivilegesApproval/156</v>
      </c>
      <c r="Z476" s="13" t="s">
        <v>142</v>
      </c>
      <c r="AT476" s="1">
        <f t="shared" si="50"/>
        <v>0</v>
      </c>
      <c r="AU476" s="1">
        <f t="shared" si="51"/>
        <v>0</v>
      </c>
      <c r="AV476" s="1">
        <f t="shared" si="52"/>
        <v>0</v>
      </c>
      <c r="AW476" s="1">
        <f t="shared" si="53"/>
        <v>0</v>
      </c>
      <c r="AX476" s="1">
        <f t="shared" si="54"/>
        <v>0</v>
      </c>
    </row>
    <row r="477" spans="1:50" s="1" customFormat="1" ht="24.95" customHeight="1" outlineLevel="3" x14ac:dyDescent="0.2">
      <c r="A477" s="11"/>
      <c r="B477" s="12">
        <v>290</v>
      </c>
      <c r="C477" s="12">
        <v>440</v>
      </c>
      <c r="D477" s="12">
        <v>28800</v>
      </c>
      <c r="E477" s="13" t="s">
        <v>945</v>
      </c>
      <c r="F477" s="13" t="s">
        <v>1584</v>
      </c>
      <c r="G477" s="13" t="s">
        <v>56</v>
      </c>
      <c r="H477" s="13" t="s">
        <v>947</v>
      </c>
      <c r="I477" s="12">
        <v>2025</v>
      </c>
      <c r="J477" s="13" t="s">
        <v>1585</v>
      </c>
      <c r="K477" s="12">
        <v>9785961490084</v>
      </c>
      <c r="L477" s="13" t="s">
        <v>1586</v>
      </c>
      <c r="M477" s="12">
        <v>144</v>
      </c>
      <c r="N477" s="14">
        <v>0.16</v>
      </c>
      <c r="O477" s="12">
        <v>130</v>
      </c>
      <c r="P477" s="12">
        <v>200</v>
      </c>
      <c r="Q477" s="12">
        <v>28</v>
      </c>
      <c r="R477" s="13" t="s">
        <v>82</v>
      </c>
      <c r="S477" s="13" t="s">
        <v>950</v>
      </c>
      <c r="T477" s="15">
        <v>4000</v>
      </c>
      <c r="U477" s="13" t="s">
        <v>44</v>
      </c>
      <c r="V477" s="13" t="s">
        <v>64</v>
      </c>
      <c r="W477" s="12">
        <v>10</v>
      </c>
      <c r="X477" s="33" t="str">
        <f>HYPERLINK("https://www.alpinabook.ru/catalog/book-strakh-blizosti","ссылка на книгу")</f>
        <v>ссылка на книгу</v>
      </c>
      <c r="Y477" s="34" t="str">
        <f>HYPERLINK("https://api-enni.alpina.ru/FilePrivilegesApproval/156","https://api-enni.alpina.ru/FilePrivilegesApproval/156")</f>
        <v>https://api-enni.alpina.ru/FilePrivilegesApproval/156</v>
      </c>
      <c r="Z477" s="13" t="s">
        <v>1422</v>
      </c>
      <c r="AT477" s="1">
        <f t="shared" si="50"/>
        <v>0</v>
      </c>
      <c r="AU477" s="1">
        <f t="shared" si="51"/>
        <v>0</v>
      </c>
      <c r="AV477" s="1">
        <f t="shared" si="52"/>
        <v>0</v>
      </c>
      <c r="AW477" s="1">
        <f t="shared" si="53"/>
        <v>0</v>
      </c>
      <c r="AX477" s="1">
        <f t="shared" si="54"/>
        <v>0</v>
      </c>
    </row>
    <row r="478" spans="1:50" s="1" customFormat="1" ht="24.95" customHeight="1" outlineLevel="3" x14ac:dyDescent="0.2">
      <c r="A478" s="11"/>
      <c r="B478" s="12">
        <v>590</v>
      </c>
      <c r="C478" s="12">
        <v>840</v>
      </c>
      <c r="D478" s="12">
        <v>12457</v>
      </c>
      <c r="E478" s="13" t="s">
        <v>1587</v>
      </c>
      <c r="F478" s="13" t="s">
        <v>1588</v>
      </c>
      <c r="G478" s="13" t="s">
        <v>56</v>
      </c>
      <c r="H478" s="13" t="s">
        <v>40</v>
      </c>
      <c r="I478" s="12">
        <v>2020</v>
      </c>
      <c r="J478" s="13" t="s">
        <v>1589</v>
      </c>
      <c r="K478" s="12">
        <v>9785961425406</v>
      </c>
      <c r="L478" s="13" t="s">
        <v>1590</v>
      </c>
      <c r="M478" s="12">
        <v>325</v>
      </c>
      <c r="N478" s="14">
        <v>0.49</v>
      </c>
      <c r="O478" s="12">
        <v>146</v>
      </c>
      <c r="P478" s="12">
        <v>216</v>
      </c>
      <c r="Q478" s="12">
        <v>10</v>
      </c>
      <c r="R478" s="13" t="s">
        <v>43</v>
      </c>
      <c r="S478" s="13"/>
      <c r="T478" s="15">
        <v>2000</v>
      </c>
      <c r="U478" s="13" t="s">
        <v>52</v>
      </c>
      <c r="V478" s="13" t="s">
        <v>59</v>
      </c>
      <c r="W478" s="12">
        <v>10</v>
      </c>
      <c r="X478" s="33" t="str">
        <f>HYPERLINK("https://www.alpinabook.ru/catalog/book-596311","ссылка на книгу")</f>
        <v>ссылка на книгу</v>
      </c>
      <c r="Y478" s="34" t="str">
        <f>HYPERLINK("https://api-enni.alpina.ru/FilePrivilegesApproval/37","https://api-enni.alpina.ru/FilePrivilegesApproval/37")</f>
        <v>https://api-enni.alpina.ru/FilePrivilegesApproval/37</v>
      </c>
      <c r="Z478" s="13"/>
      <c r="AT478" s="1">
        <f t="shared" si="50"/>
        <v>0</v>
      </c>
      <c r="AU478" s="1">
        <f t="shared" si="51"/>
        <v>0</v>
      </c>
      <c r="AV478" s="1">
        <f t="shared" si="52"/>
        <v>0</v>
      </c>
      <c r="AW478" s="1">
        <f t="shared" si="53"/>
        <v>0</v>
      </c>
      <c r="AX478" s="1">
        <f t="shared" si="54"/>
        <v>0</v>
      </c>
    </row>
    <row r="479" spans="1:50" s="1" customFormat="1" ht="24.95" customHeight="1" outlineLevel="3" x14ac:dyDescent="0.2">
      <c r="A479" s="11"/>
      <c r="B479" s="12">
        <v>540</v>
      </c>
      <c r="C479" s="12">
        <v>790</v>
      </c>
      <c r="D479" s="12">
        <v>20979</v>
      </c>
      <c r="E479" s="13" t="s">
        <v>1591</v>
      </c>
      <c r="F479" s="13" t="s">
        <v>1592</v>
      </c>
      <c r="G479" s="13" t="s">
        <v>56</v>
      </c>
      <c r="H479" s="13" t="s">
        <v>40</v>
      </c>
      <c r="I479" s="12">
        <v>2025</v>
      </c>
      <c r="J479" s="13" t="s">
        <v>1593</v>
      </c>
      <c r="K479" s="12">
        <v>9785961441970</v>
      </c>
      <c r="L479" s="13" t="s">
        <v>1594</v>
      </c>
      <c r="M479" s="12">
        <v>152</v>
      </c>
      <c r="N479" s="14">
        <v>0.28000000000000003</v>
      </c>
      <c r="O479" s="12">
        <v>150</v>
      </c>
      <c r="P479" s="12">
        <v>220</v>
      </c>
      <c r="Q479" s="12">
        <v>10</v>
      </c>
      <c r="R479" s="13" t="s">
        <v>43</v>
      </c>
      <c r="S479" s="13"/>
      <c r="T479" s="15">
        <v>1000</v>
      </c>
      <c r="U479" s="13" t="s">
        <v>52</v>
      </c>
      <c r="V479" s="13" t="s">
        <v>59</v>
      </c>
      <c r="W479" s="12">
        <v>10</v>
      </c>
      <c r="X479" s="33" t="str">
        <f>HYPERLINK("https://www.alpinabook.ru/catalog/book-schastlivyy-soyuz","ссылка на книгу")</f>
        <v>ссылка на книгу</v>
      </c>
      <c r="Y479" s="34" t="str">
        <f>HYPERLINK("https://api-enni.alpina.ru/FilePrivilegesApproval/163","https://api-enni.alpina.ru/FilePrivilegesApproval/163")</f>
        <v>https://api-enni.alpina.ru/FilePrivilegesApproval/163</v>
      </c>
      <c r="Z479" s="13"/>
      <c r="AT479" s="1">
        <f t="shared" si="50"/>
        <v>0</v>
      </c>
      <c r="AU479" s="1">
        <f t="shared" si="51"/>
        <v>0</v>
      </c>
      <c r="AV479" s="1">
        <f t="shared" si="52"/>
        <v>0</v>
      </c>
      <c r="AW479" s="1">
        <f t="shared" si="53"/>
        <v>0</v>
      </c>
      <c r="AX479" s="1">
        <f t="shared" si="54"/>
        <v>0</v>
      </c>
    </row>
    <row r="480" spans="1:50" s="1" customFormat="1" ht="24.95" customHeight="1" outlineLevel="3" x14ac:dyDescent="0.2">
      <c r="A480" s="11"/>
      <c r="B480" s="12">
        <v>590</v>
      </c>
      <c r="C480" s="12">
        <v>840</v>
      </c>
      <c r="D480" s="12">
        <v>32955</v>
      </c>
      <c r="E480" s="13" t="s">
        <v>1539</v>
      </c>
      <c r="F480" s="13" t="s">
        <v>1595</v>
      </c>
      <c r="G480" s="13" t="s">
        <v>56</v>
      </c>
      <c r="H480" s="13"/>
      <c r="I480" s="12">
        <v>2025</v>
      </c>
      <c r="J480" s="13" t="s">
        <v>1596</v>
      </c>
      <c r="K480" s="12">
        <v>9785006303454</v>
      </c>
      <c r="L480" s="13" t="s">
        <v>1597</v>
      </c>
      <c r="M480" s="12">
        <v>200</v>
      </c>
      <c r="N480" s="14">
        <v>0.3</v>
      </c>
      <c r="O480" s="12">
        <v>150</v>
      </c>
      <c r="P480" s="12">
        <v>220</v>
      </c>
      <c r="Q480" s="12">
        <v>10</v>
      </c>
      <c r="R480" s="13" t="s">
        <v>43</v>
      </c>
      <c r="S480" s="13"/>
      <c r="T480" s="15">
        <v>1000</v>
      </c>
      <c r="U480" s="13" t="s">
        <v>52</v>
      </c>
      <c r="V480" s="13" t="s">
        <v>45</v>
      </c>
      <c r="W480" s="12">
        <v>10</v>
      </c>
      <c r="X480" s="33" t="str">
        <f>HYPERLINK("https://www.alpinabook.ru/catalog/book-tainstvennyy-les","ссылка на книгу")</f>
        <v>ссылка на книгу</v>
      </c>
      <c r="Y480" s="34" t="str">
        <f>HYPERLINK("https://api-enni.alpina.ru/FilePrivilegesApproval/296","https://api-enni.alpina.ru/FilePrivilegesApproval/296")</f>
        <v>https://api-enni.alpina.ru/FilePrivilegesApproval/296</v>
      </c>
      <c r="Z480" s="13" t="s">
        <v>65</v>
      </c>
      <c r="AT480" s="1">
        <f t="shared" si="50"/>
        <v>0</v>
      </c>
      <c r="AU480" s="1">
        <f t="shared" si="51"/>
        <v>0</v>
      </c>
      <c r="AV480" s="1">
        <f t="shared" si="52"/>
        <v>0</v>
      </c>
      <c r="AW480" s="1">
        <f t="shared" si="53"/>
        <v>0</v>
      </c>
      <c r="AX480" s="1">
        <f t="shared" si="54"/>
        <v>0</v>
      </c>
    </row>
    <row r="481" spans="1:50" s="1" customFormat="1" ht="24.95" customHeight="1" outlineLevel="3" x14ac:dyDescent="0.2">
      <c r="A481" s="11"/>
      <c r="B481" s="12">
        <v>340</v>
      </c>
      <c r="C481" s="12">
        <v>540</v>
      </c>
      <c r="D481" s="12">
        <v>27437</v>
      </c>
      <c r="E481" s="13" t="s">
        <v>1598</v>
      </c>
      <c r="F481" s="13" t="s">
        <v>1599</v>
      </c>
      <c r="G481" s="13" t="s">
        <v>56</v>
      </c>
      <c r="H481" s="13"/>
      <c r="I481" s="12">
        <v>2025</v>
      </c>
      <c r="J481" s="13" t="s">
        <v>1600</v>
      </c>
      <c r="K481" s="12">
        <v>9785961485035</v>
      </c>
      <c r="L481" s="13" t="s">
        <v>1601</v>
      </c>
      <c r="M481" s="12">
        <v>426</v>
      </c>
      <c r="N481" s="14">
        <v>0.27</v>
      </c>
      <c r="O481" s="12">
        <v>120</v>
      </c>
      <c r="P481" s="12">
        <v>170</v>
      </c>
      <c r="Q481" s="12">
        <v>28</v>
      </c>
      <c r="R481" s="13" t="s">
        <v>75</v>
      </c>
      <c r="S481" s="13" t="s">
        <v>253</v>
      </c>
      <c r="T481" s="15">
        <v>3000</v>
      </c>
      <c r="U481" s="13" t="s">
        <v>44</v>
      </c>
      <c r="V481" s="13" t="s">
        <v>64</v>
      </c>
      <c r="W481" s="12">
        <v>10</v>
      </c>
      <c r="X481" s="33" t="str">
        <f>HYPERLINK("https://www.alpinabook.ru/catalog/book-taym-menedzhment","ссылка на книгу")</f>
        <v>ссылка на книгу</v>
      </c>
      <c r="Y481" s="34" t="str">
        <f>HYPERLINK("https://api-enni.alpina.ru/FilePrivilegesApproval/200","https://api-enni.alpina.ru/FilePrivilegesApproval/200")</f>
        <v>https://api-enni.alpina.ru/FilePrivilegesApproval/200</v>
      </c>
      <c r="Z481" s="13"/>
      <c r="AT481" s="1">
        <f t="shared" si="50"/>
        <v>0</v>
      </c>
      <c r="AU481" s="1">
        <f t="shared" si="51"/>
        <v>0</v>
      </c>
      <c r="AV481" s="1">
        <f t="shared" si="52"/>
        <v>0</v>
      </c>
      <c r="AW481" s="1">
        <f t="shared" si="53"/>
        <v>0</v>
      </c>
      <c r="AX481" s="1">
        <f t="shared" si="54"/>
        <v>0</v>
      </c>
    </row>
    <row r="482" spans="1:50" s="1" customFormat="1" ht="24.95" customHeight="1" outlineLevel="3" x14ac:dyDescent="0.2">
      <c r="A482" s="11"/>
      <c r="B482" s="12">
        <v>530</v>
      </c>
      <c r="C482" s="12">
        <v>790</v>
      </c>
      <c r="D482" s="12">
        <v>20616</v>
      </c>
      <c r="E482" s="13" t="s">
        <v>510</v>
      </c>
      <c r="F482" s="13" t="s">
        <v>1602</v>
      </c>
      <c r="G482" s="13" t="s">
        <v>56</v>
      </c>
      <c r="H482" s="13"/>
      <c r="I482" s="12">
        <v>2021</v>
      </c>
      <c r="J482" s="13" t="s">
        <v>1603</v>
      </c>
      <c r="K482" s="12">
        <v>9785961441413</v>
      </c>
      <c r="L482" s="13" t="s">
        <v>1604</v>
      </c>
      <c r="M482" s="12">
        <v>151</v>
      </c>
      <c r="N482" s="14">
        <v>0.27</v>
      </c>
      <c r="O482" s="12">
        <v>150</v>
      </c>
      <c r="P482" s="12">
        <v>220</v>
      </c>
      <c r="Q482" s="12">
        <v>20</v>
      </c>
      <c r="R482" s="13" t="s">
        <v>43</v>
      </c>
      <c r="S482" s="13"/>
      <c r="T482" s="15">
        <v>1500</v>
      </c>
      <c r="U482" s="13" t="s">
        <v>52</v>
      </c>
      <c r="V482" s="13" t="s">
        <v>269</v>
      </c>
      <c r="W482" s="12">
        <v>10</v>
      </c>
      <c r="X482" s="33" t="str">
        <f>HYPERLINK("https://www.alpinabook.ru/catalog/book-694514","ссылка на книгу")</f>
        <v>ссылка на книгу</v>
      </c>
      <c r="Y482" s="34" t="str">
        <f>HYPERLINK("https://api-enni.alpina.ru/FilePrivilegesApproval/106","https://api-enni.alpina.ru/FilePrivilegesApproval/106")</f>
        <v>https://api-enni.alpina.ru/FilePrivilegesApproval/106</v>
      </c>
      <c r="Z482" s="13"/>
      <c r="AT482" s="1">
        <f t="shared" si="50"/>
        <v>0</v>
      </c>
      <c r="AU482" s="1">
        <f t="shared" si="51"/>
        <v>0</v>
      </c>
      <c r="AV482" s="1">
        <f t="shared" si="52"/>
        <v>0</v>
      </c>
      <c r="AW482" s="1">
        <f t="shared" si="53"/>
        <v>0</v>
      </c>
      <c r="AX482" s="1">
        <f t="shared" si="54"/>
        <v>0</v>
      </c>
    </row>
    <row r="483" spans="1:50" s="1" customFormat="1" ht="24.95" customHeight="1" outlineLevel="3" x14ac:dyDescent="0.2">
      <c r="A483" s="11"/>
      <c r="B483" s="12">
        <v>690</v>
      </c>
      <c r="C483" s="12">
        <v>990</v>
      </c>
      <c r="D483" s="12">
        <v>26578</v>
      </c>
      <c r="E483" s="13" t="s">
        <v>179</v>
      </c>
      <c r="F483" s="13" t="s">
        <v>215</v>
      </c>
      <c r="G483" s="13" t="s">
        <v>56</v>
      </c>
      <c r="H483" s="13"/>
      <c r="I483" s="12">
        <v>2025</v>
      </c>
      <c r="J483" s="13" t="s">
        <v>216</v>
      </c>
      <c r="K483" s="12">
        <v>9785961482270</v>
      </c>
      <c r="L483" s="13" t="s">
        <v>217</v>
      </c>
      <c r="M483" s="12">
        <v>373</v>
      </c>
      <c r="N483" s="14">
        <v>0.55000000000000004</v>
      </c>
      <c r="O483" s="12">
        <v>150</v>
      </c>
      <c r="P483" s="12">
        <v>220</v>
      </c>
      <c r="Q483" s="12">
        <v>12</v>
      </c>
      <c r="R483" s="13" t="s">
        <v>43</v>
      </c>
      <c r="S483" s="13"/>
      <c r="T483" s="15">
        <v>3000</v>
      </c>
      <c r="U483" s="13" t="s">
        <v>52</v>
      </c>
      <c r="V483" s="13" t="s">
        <v>45</v>
      </c>
      <c r="W483" s="12">
        <v>10</v>
      </c>
      <c r="X483" s="33" t="str">
        <f>HYPERLINK("https://www.alpinabook.ru/catalog/book-tayny-nashego-bessoznatelnogo","ссылка на книгу")</f>
        <v>ссылка на книгу</v>
      </c>
      <c r="Y483" s="34" t="str">
        <f>HYPERLINK("https://api-enni.alpina.ru/FilePrivilegesApproval/856","https://api-enni.alpina.ru/FilePrivilegesApproval/856")</f>
        <v>https://api-enni.alpina.ru/FilePrivilegesApproval/856</v>
      </c>
      <c r="Z483" s="13" t="s">
        <v>83</v>
      </c>
      <c r="AT483" s="1">
        <f t="shared" si="50"/>
        <v>0</v>
      </c>
      <c r="AU483" s="1">
        <f t="shared" si="51"/>
        <v>0</v>
      </c>
      <c r="AV483" s="1">
        <f t="shared" si="52"/>
        <v>0</v>
      </c>
      <c r="AW483" s="1">
        <f t="shared" si="53"/>
        <v>0</v>
      </c>
      <c r="AX483" s="1">
        <f t="shared" si="54"/>
        <v>0</v>
      </c>
    </row>
    <row r="484" spans="1:50" s="1" customFormat="1" ht="24.95" customHeight="1" outlineLevel="3" x14ac:dyDescent="0.2">
      <c r="A484" s="11"/>
      <c r="B484" s="12">
        <v>590</v>
      </c>
      <c r="C484" s="12">
        <v>840</v>
      </c>
      <c r="D484" s="12">
        <v>18567</v>
      </c>
      <c r="E484" s="13" t="s">
        <v>1605</v>
      </c>
      <c r="F484" s="13" t="s">
        <v>1606</v>
      </c>
      <c r="G484" s="13" t="s">
        <v>56</v>
      </c>
      <c r="H484" s="13"/>
      <c r="I484" s="12">
        <v>2020</v>
      </c>
      <c r="J484" s="13" t="s">
        <v>1607</v>
      </c>
      <c r="K484" s="12">
        <v>9785961436174</v>
      </c>
      <c r="L484" s="13" t="s">
        <v>1608</v>
      </c>
      <c r="M484" s="12">
        <v>150</v>
      </c>
      <c r="N484" s="14">
        <v>0.3</v>
      </c>
      <c r="O484" s="12">
        <v>146</v>
      </c>
      <c r="P484" s="12">
        <v>216</v>
      </c>
      <c r="Q484" s="12">
        <v>22</v>
      </c>
      <c r="R484" s="13" t="s">
        <v>43</v>
      </c>
      <c r="S484" s="13"/>
      <c r="T484" s="15">
        <v>2000</v>
      </c>
      <c r="U484" s="13" t="s">
        <v>52</v>
      </c>
      <c r="V484" s="13" t="s">
        <v>59</v>
      </c>
      <c r="W484" s="12">
        <v>10</v>
      </c>
      <c r="X484" s="33" t="str">
        <f>HYPERLINK("https://www.alpinabook.ru/catalog/book-650636","ссылка на книгу")</f>
        <v>ссылка на книгу</v>
      </c>
      <c r="Y484" s="34" t="str">
        <f>HYPERLINK("https://api-enni.alpina.ru/FilePrivilegesApproval/63","https://api-enni.alpina.ru/FilePrivilegesApproval/63")</f>
        <v>https://api-enni.alpina.ru/FilePrivilegesApproval/63</v>
      </c>
      <c r="Z484" s="13"/>
      <c r="AT484" s="1">
        <f t="shared" si="50"/>
        <v>0</v>
      </c>
      <c r="AU484" s="1">
        <f t="shared" si="51"/>
        <v>0</v>
      </c>
      <c r="AV484" s="1">
        <f t="shared" si="52"/>
        <v>0</v>
      </c>
      <c r="AW484" s="1">
        <f t="shared" si="53"/>
        <v>0</v>
      </c>
      <c r="AX484" s="1">
        <f t="shared" si="54"/>
        <v>0</v>
      </c>
    </row>
    <row r="485" spans="1:50" s="1" customFormat="1" ht="24.95" customHeight="1" outlineLevel="3" x14ac:dyDescent="0.2">
      <c r="A485" s="11"/>
      <c r="B485" s="12">
        <v>290</v>
      </c>
      <c r="C485" s="12">
        <v>440</v>
      </c>
      <c r="D485" s="12">
        <v>28742</v>
      </c>
      <c r="E485" s="13" t="s">
        <v>1609</v>
      </c>
      <c r="F485" s="13" t="s">
        <v>1610</v>
      </c>
      <c r="G485" s="13" t="s">
        <v>56</v>
      </c>
      <c r="H485" s="13"/>
      <c r="I485" s="12">
        <v>2025</v>
      </c>
      <c r="J485" s="13" t="s">
        <v>1611</v>
      </c>
      <c r="K485" s="12">
        <v>9785961489941</v>
      </c>
      <c r="L485" s="13" t="s">
        <v>1612</v>
      </c>
      <c r="M485" s="12">
        <v>302</v>
      </c>
      <c r="N485" s="14">
        <v>0.2</v>
      </c>
      <c r="O485" s="12">
        <v>120</v>
      </c>
      <c r="P485" s="12">
        <v>240</v>
      </c>
      <c r="Q485" s="12">
        <v>20</v>
      </c>
      <c r="R485" s="13" t="s">
        <v>75</v>
      </c>
      <c r="S485" s="13" t="s">
        <v>253</v>
      </c>
      <c r="T485" s="15">
        <v>2000</v>
      </c>
      <c r="U485" s="13" t="s">
        <v>44</v>
      </c>
      <c r="V485" s="13" t="s">
        <v>64</v>
      </c>
      <c r="W485" s="12">
        <v>10</v>
      </c>
      <c r="X485" s="33" t="str">
        <f>HYPERLINK("https://www.alpinabook.ru/catalog/book-trablshuting","ссылка на книгу")</f>
        <v>ссылка на книгу</v>
      </c>
      <c r="Y485" s="34" t="str">
        <f>HYPERLINK("https://api-enni.alpina.ru/FilePrivilegesApproval/296","https://api-enni.alpina.ru/FilePrivilegesApproval/296")</f>
        <v>https://api-enni.alpina.ru/FilePrivilegesApproval/296</v>
      </c>
      <c r="Z485" s="13" t="s">
        <v>954</v>
      </c>
      <c r="AT485" s="1">
        <f t="shared" si="50"/>
        <v>0</v>
      </c>
      <c r="AU485" s="1">
        <f t="shared" si="51"/>
        <v>0</v>
      </c>
      <c r="AV485" s="1">
        <f t="shared" si="52"/>
        <v>0</v>
      </c>
      <c r="AW485" s="1">
        <f t="shared" si="53"/>
        <v>0</v>
      </c>
      <c r="AX485" s="1">
        <f t="shared" si="54"/>
        <v>0</v>
      </c>
    </row>
    <row r="486" spans="1:50" s="1" customFormat="1" ht="24.95" customHeight="1" outlineLevel="3" x14ac:dyDescent="0.2">
      <c r="A486" s="11"/>
      <c r="B486" s="12">
        <v>490</v>
      </c>
      <c r="C486" s="12">
        <v>690</v>
      </c>
      <c r="D486" s="12">
        <v>17599</v>
      </c>
      <c r="E486" s="13" t="s">
        <v>771</v>
      </c>
      <c r="F486" s="13" t="s">
        <v>772</v>
      </c>
      <c r="G486" s="13" t="s">
        <v>56</v>
      </c>
      <c r="H486" s="13" t="s">
        <v>40</v>
      </c>
      <c r="I486" s="12">
        <v>2025</v>
      </c>
      <c r="J486" s="13" t="s">
        <v>773</v>
      </c>
      <c r="K486" s="12">
        <v>9785961435122</v>
      </c>
      <c r="L486" s="13" t="s">
        <v>774</v>
      </c>
      <c r="M486" s="12">
        <v>192</v>
      </c>
      <c r="N486" s="14">
        <v>0.25</v>
      </c>
      <c r="O486" s="12">
        <v>141</v>
      </c>
      <c r="P486" s="12">
        <v>210</v>
      </c>
      <c r="Q486" s="12">
        <v>20</v>
      </c>
      <c r="R486" s="13" t="s">
        <v>43</v>
      </c>
      <c r="S486" s="13"/>
      <c r="T486" s="15">
        <v>10000</v>
      </c>
      <c r="U486" s="13" t="s">
        <v>44</v>
      </c>
      <c r="V486" s="13" t="s">
        <v>269</v>
      </c>
      <c r="W486" s="12">
        <v>10</v>
      </c>
      <c r="X486" s="33" t="str">
        <f>HYPERLINK("https://www.alpinabook.ru/catalog/book-trenazher-mozga","ссылка на книгу")</f>
        <v>ссылка на книгу</v>
      </c>
      <c r="Y486" s="34" t="str">
        <f>HYPERLINK("https://api-enni.alpina.ru/FilePrivilegesApproval/141","https://api-enni.alpina.ru/FilePrivilegesApproval/141")</f>
        <v>https://api-enni.alpina.ru/FilePrivilegesApproval/141</v>
      </c>
      <c r="Z486" s="13" t="s">
        <v>775</v>
      </c>
      <c r="AT486" s="1">
        <f t="shared" si="50"/>
        <v>0</v>
      </c>
      <c r="AU486" s="1">
        <f t="shared" si="51"/>
        <v>0</v>
      </c>
      <c r="AV486" s="1">
        <f t="shared" si="52"/>
        <v>0</v>
      </c>
      <c r="AW486" s="1">
        <f t="shared" si="53"/>
        <v>0</v>
      </c>
      <c r="AX486" s="1">
        <f t="shared" si="54"/>
        <v>0</v>
      </c>
    </row>
    <row r="487" spans="1:50" s="1" customFormat="1" ht="24.95" customHeight="1" outlineLevel="3" x14ac:dyDescent="0.2">
      <c r="A487" s="26"/>
      <c r="B487" s="27">
        <v>590</v>
      </c>
      <c r="C487" s="27">
        <v>590</v>
      </c>
      <c r="D487" s="27">
        <v>12496</v>
      </c>
      <c r="E487" s="29" t="s">
        <v>1613</v>
      </c>
      <c r="F487" s="29" t="s">
        <v>1614</v>
      </c>
      <c r="G487" s="29" t="s">
        <v>56</v>
      </c>
      <c r="H487" s="29"/>
      <c r="I487" s="27">
        <v>2020</v>
      </c>
      <c r="J487" s="29" t="s">
        <v>1615</v>
      </c>
      <c r="K487" s="27">
        <v>9785961425840</v>
      </c>
      <c r="L487" s="29" t="s">
        <v>1616</v>
      </c>
      <c r="M487" s="27">
        <v>246</v>
      </c>
      <c r="N487" s="30">
        <v>0.41</v>
      </c>
      <c r="O487" s="27">
        <v>146</v>
      </c>
      <c r="P487" s="27">
        <v>216</v>
      </c>
      <c r="Q487" s="27">
        <v>14</v>
      </c>
      <c r="R487" s="29" t="s">
        <v>43</v>
      </c>
      <c r="S487" s="29"/>
      <c r="T487" s="28">
        <v>1500</v>
      </c>
      <c r="U487" s="29" t="s">
        <v>268</v>
      </c>
      <c r="V487" s="29" t="s">
        <v>89</v>
      </c>
      <c r="W487" s="27">
        <v>10</v>
      </c>
      <c r="X487" s="37" t="str">
        <f>HYPERLINK("https://www.alpinabook.ru/catalog/book-640382","ссылка на книгу")</f>
        <v>ссылка на книгу</v>
      </c>
      <c r="Y487" s="38" t="str">
        <f>HYPERLINK("https://api-enni.alpina.ru/FilePrivilegesApproval/72","https://api-enni.alpina.ru/FilePrivilegesApproval/72")</f>
        <v>https://api-enni.alpina.ru/FilePrivilegesApproval/72</v>
      </c>
      <c r="Z487" s="29"/>
      <c r="AT487" s="1">
        <f t="shared" si="50"/>
        <v>0</v>
      </c>
      <c r="AU487" s="1">
        <f t="shared" si="51"/>
        <v>0</v>
      </c>
      <c r="AV487" s="1">
        <f t="shared" si="52"/>
        <v>0</v>
      </c>
      <c r="AW487" s="1">
        <f t="shared" si="53"/>
        <v>0</v>
      </c>
      <c r="AX487" s="1">
        <f t="shared" si="54"/>
        <v>0</v>
      </c>
    </row>
    <row r="488" spans="1:50" s="1" customFormat="1" ht="24.95" customHeight="1" outlineLevel="3" x14ac:dyDescent="0.2">
      <c r="A488" s="11"/>
      <c r="B488" s="12">
        <v>290</v>
      </c>
      <c r="C488" s="12">
        <v>440</v>
      </c>
      <c r="D488" s="12">
        <v>27319</v>
      </c>
      <c r="E488" s="13" t="s">
        <v>258</v>
      </c>
      <c r="F488" s="13" t="s">
        <v>784</v>
      </c>
      <c r="G488" s="13" t="s">
        <v>56</v>
      </c>
      <c r="H488" s="13" t="s">
        <v>40</v>
      </c>
      <c r="I488" s="12">
        <v>2025</v>
      </c>
      <c r="J488" s="13" t="s">
        <v>785</v>
      </c>
      <c r="K488" s="12">
        <v>9785961484625</v>
      </c>
      <c r="L488" s="13" t="s">
        <v>786</v>
      </c>
      <c r="M488" s="12">
        <v>176</v>
      </c>
      <c r="N488" s="14">
        <v>0.14000000000000001</v>
      </c>
      <c r="O488" s="12">
        <v>120</v>
      </c>
      <c r="P488" s="12">
        <v>170</v>
      </c>
      <c r="Q488" s="12">
        <v>16</v>
      </c>
      <c r="R488" s="13" t="s">
        <v>75</v>
      </c>
      <c r="S488" s="13" t="s">
        <v>76</v>
      </c>
      <c r="T488" s="15">
        <v>10000</v>
      </c>
      <c r="U488" s="13" t="s">
        <v>44</v>
      </c>
      <c r="V488" s="13" t="s">
        <v>64</v>
      </c>
      <c r="W488" s="12">
        <v>10</v>
      </c>
      <c r="X488" s="33" t="str">
        <f>HYPERLINK("https://www.alpinabook.ru/catalog/book-ty-to-chto-ty-dumaesh","ссылка на книгу")</f>
        <v>ссылка на книгу</v>
      </c>
      <c r="Y488" s="34" t="str">
        <f>HYPERLINK("https://api-enni.alpina.ru/FilePrivilegesApproval/186","https://api-enni.alpina.ru/FilePrivilegesApproval/186")</f>
        <v>https://api-enni.alpina.ru/FilePrivilegesApproval/186</v>
      </c>
      <c r="Z488" s="13" t="s">
        <v>392</v>
      </c>
      <c r="AT488" s="1">
        <f t="shared" si="50"/>
        <v>0</v>
      </c>
      <c r="AU488" s="1">
        <f t="shared" si="51"/>
        <v>0</v>
      </c>
      <c r="AV488" s="1">
        <f t="shared" si="52"/>
        <v>0</v>
      </c>
      <c r="AW488" s="1">
        <f t="shared" si="53"/>
        <v>0</v>
      </c>
      <c r="AX488" s="1">
        <f t="shared" si="54"/>
        <v>0</v>
      </c>
    </row>
    <row r="489" spans="1:50" s="1" customFormat="1" ht="24.95" customHeight="1" outlineLevel="3" x14ac:dyDescent="0.2">
      <c r="A489" s="11"/>
      <c r="B489" s="12">
        <v>740</v>
      </c>
      <c r="C489" s="15">
        <v>1090</v>
      </c>
      <c r="D489" s="12">
        <v>7529</v>
      </c>
      <c r="E489" s="13" t="s">
        <v>1617</v>
      </c>
      <c r="F489" s="13" t="s">
        <v>1618</v>
      </c>
      <c r="G489" s="13" t="s">
        <v>97</v>
      </c>
      <c r="H489" s="13" t="s">
        <v>40</v>
      </c>
      <c r="I489" s="12">
        <v>2025</v>
      </c>
      <c r="J489" s="13" t="s">
        <v>1619</v>
      </c>
      <c r="K489" s="12">
        <v>9785907394124</v>
      </c>
      <c r="L489" s="13" t="s">
        <v>1620</v>
      </c>
      <c r="M489" s="12">
        <v>240</v>
      </c>
      <c r="N489" s="14">
        <v>0.39</v>
      </c>
      <c r="O489" s="12">
        <v>153</v>
      </c>
      <c r="P489" s="12">
        <v>216</v>
      </c>
      <c r="Q489" s="12">
        <v>8</v>
      </c>
      <c r="R489" s="13" t="s">
        <v>43</v>
      </c>
      <c r="S489" s="13"/>
      <c r="T489" s="15">
        <v>1000</v>
      </c>
      <c r="U489" s="13" t="s">
        <v>52</v>
      </c>
      <c r="V489" s="13" t="s">
        <v>64</v>
      </c>
      <c r="W489" s="12">
        <v>10</v>
      </c>
      <c r="X489" s="33" t="str">
        <f>HYPERLINK("https://www.alpinabook.ru/catalog/book-upravlenie-stressom","ссылка на книгу")</f>
        <v>ссылка на книгу</v>
      </c>
      <c r="Y489" s="34" t="str">
        <f>HYPERLINK("https://api-enni.alpina.ru/FilePrivilegesApproval/2","https://api-enni.alpina.ru/FilePrivilegesApproval/2")</f>
        <v>https://api-enni.alpina.ru/FilePrivilegesApproval/2</v>
      </c>
      <c r="Z489" s="13" t="s">
        <v>775</v>
      </c>
      <c r="AT489" s="1">
        <f t="shared" si="50"/>
        <v>0</v>
      </c>
      <c r="AU489" s="1">
        <f t="shared" si="51"/>
        <v>0</v>
      </c>
      <c r="AV489" s="1">
        <f t="shared" si="52"/>
        <v>0</v>
      </c>
      <c r="AW489" s="1">
        <f t="shared" si="53"/>
        <v>0</v>
      </c>
      <c r="AX489" s="1">
        <f t="shared" si="54"/>
        <v>0</v>
      </c>
    </row>
    <row r="490" spans="1:50" s="1" customFormat="1" ht="24.95" customHeight="1" outlineLevel="3" x14ac:dyDescent="0.2">
      <c r="A490" s="11"/>
      <c r="B490" s="12">
        <v>530</v>
      </c>
      <c r="C490" s="12">
        <v>530</v>
      </c>
      <c r="D490" s="12">
        <v>22659</v>
      </c>
      <c r="E490" s="13" t="s">
        <v>1621</v>
      </c>
      <c r="F490" s="13" t="s">
        <v>1622</v>
      </c>
      <c r="G490" s="13" t="s">
        <v>56</v>
      </c>
      <c r="H490" s="13" t="s">
        <v>850</v>
      </c>
      <c r="I490" s="12">
        <v>2021</v>
      </c>
      <c r="J490" s="13" t="s">
        <v>1623</v>
      </c>
      <c r="K490" s="12">
        <v>9785961458923</v>
      </c>
      <c r="L490" s="13" t="s">
        <v>1624</v>
      </c>
      <c r="M490" s="12">
        <v>200</v>
      </c>
      <c r="N490" s="14">
        <v>0.26</v>
      </c>
      <c r="O490" s="12">
        <v>141</v>
      </c>
      <c r="P490" s="12">
        <v>210</v>
      </c>
      <c r="Q490" s="12">
        <v>20</v>
      </c>
      <c r="R490" s="13" t="s">
        <v>43</v>
      </c>
      <c r="S490" s="13"/>
      <c r="T490" s="15">
        <v>2000</v>
      </c>
      <c r="U490" s="13" t="s">
        <v>44</v>
      </c>
      <c r="V490" s="13" t="s">
        <v>59</v>
      </c>
      <c r="W490" s="12">
        <v>10</v>
      </c>
      <c r="X490" s="33" t="str">
        <f>HYPERLINK("https://www.alpinabook.ru/catalog/book-ura-ponedelnik","ссылка на книгу")</f>
        <v>ссылка на книгу</v>
      </c>
      <c r="Y490" s="34" t="str">
        <f>HYPERLINK("https://api-enni.alpina.ru/FilePrivilegesApproval/119","https://api-enni.alpina.ru/FilePrivilegesApproval/119")</f>
        <v>https://api-enni.alpina.ru/FilePrivilegesApproval/119</v>
      </c>
      <c r="Z490" s="13"/>
      <c r="AT490" s="1">
        <f t="shared" si="50"/>
        <v>0</v>
      </c>
      <c r="AU490" s="1">
        <f t="shared" si="51"/>
        <v>0</v>
      </c>
      <c r="AV490" s="1">
        <f t="shared" si="52"/>
        <v>0</v>
      </c>
      <c r="AW490" s="1">
        <f t="shared" si="53"/>
        <v>0</v>
      </c>
      <c r="AX490" s="1">
        <f t="shared" si="54"/>
        <v>0</v>
      </c>
    </row>
    <row r="491" spans="1:50" s="1" customFormat="1" ht="24.95" customHeight="1" outlineLevel="3" x14ac:dyDescent="0.2">
      <c r="A491" s="11"/>
      <c r="B491" s="12">
        <v>490</v>
      </c>
      <c r="C491" s="12">
        <v>740</v>
      </c>
      <c r="D491" s="12">
        <v>27681</v>
      </c>
      <c r="E491" s="13" t="s">
        <v>1625</v>
      </c>
      <c r="F491" s="13" t="s">
        <v>1626</v>
      </c>
      <c r="G491" s="13" t="s">
        <v>56</v>
      </c>
      <c r="H491" s="13" t="s">
        <v>40</v>
      </c>
      <c r="I491" s="12">
        <v>2024</v>
      </c>
      <c r="J491" s="13" t="s">
        <v>1627</v>
      </c>
      <c r="K491" s="12">
        <v>9785961486049</v>
      </c>
      <c r="L491" s="13" t="s">
        <v>1628</v>
      </c>
      <c r="M491" s="12">
        <v>248</v>
      </c>
      <c r="N491" s="14">
        <v>0.31</v>
      </c>
      <c r="O491" s="12">
        <v>140</v>
      </c>
      <c r="P491" s="12">
        <v>210</v>
      </c>
      <c r="Q491" s="12">
        <v>18</v>
      </c>
      <c r="R491" s="13" t="s">
        <v>43</v>
      </c>
      <c r="S491" s="13"/>
      <c r="T491" s="15">
        <v>2500</v>
      </c>
      <c r="U491" s="13" t="s">
        <v>44</v>
      </c>
      <c r="V491" s="13" t="s">
        <v>45</v>
      </c>
      <c r="W491" s="12">
        <v>10</v>
      </c>
      <c r="X491" s="33" t="str">
        <f>HYPERLINK("https://www.alpinabook.ru/catalog/book-uslyshat-sebya","ссылка на книгу")</f>
        <v>ссылка на книгу</v>
      </c>
      <c r="Y491" s="34" t="str">
        <f>HYPERLINK("https://api-enni.alpina.ru/FilePrivilegesApproval/339","https://api-enni.alpina.ru/FilePrivilegesApproval/339")</f>
        <v>https://api-enni.alpina.ru/FilePrivilegesApproval/339</v>
      </c>
      <c r="Z491" s="13"/>
      <c r="AT491" s="1">
        <f t="shared" ref="AT491:AT522" si="55">IF($A491&lt;&gt;0,1,0)</f>
        <v>0</v>
      </c>
      <c r="AU491" s="1">
        <f t="shared" ref="AU491:AU522" si="56">$A491*$B491</f>
        <v>0</v>
      </c>
      <c r="AV491" s="1">
        <f t="shared" ref="AV491:AV522" si="57">$A491*$N491</f>
        <v>0</v>
      </c>
      <c r="AW491" s="1">
        <f t="shared" ref="AW491:AW522" si="58">IF($Q491=0,0,INT($A491/$Q491))</f>
        <v>0</v>
      </c>
      <c r="AX491" s="1">
        <f t="shared" ref="AX491:AX522" si="59">$A491-$AW491*$Q491</f>
        <v>0</v>
      </c>
    </row>
    <row r="492" spans="1:50" s="1" customFormat="1" ht="24.95" customHeight="1" outlineLevel="3" x14ac:dyDescent="0.2">
      <c r="A492" s="11"/>
      <c r="B492" s="12">
        <v>590</v>
      </c>
      <c r="C492" s="12">
        <v>590</v>
      </c>
      <c r="D492" s="12">
        <v>12436</v>
      </c>
      <c r="E492" s="13" t="s">
        <v>1629</v>
      </c>
      <c r="F492" s="13" t="s">
        <v>1630</v>
      </c>
      <c r="G492" s="13" t="s">
        <v>56</v>
      </c>
      <c r="H492" s="13" t="s">
        <v>40</v>
      </c>
      <c r="I492" s="12">
        <v>2020</v>
      </c>
      <c r="J492" s="13" t="s">
        <v>1631</v>
      </c>
      <c r="K492" s="12">
        <v>9785961432206</v>
      </c>
      <c r="L492" s="13" t="s">
        <v>1632</v>
      </c>
      <c r="M492" s="12">
        <v>331</v>
      </c>
      <c r="N492" s="14">
        <v>0.5</v>
      </c>
      <c r="O492" s="12">
        <v>146</v>
      </c>
      <c r="P492" s="12">
        <v>216</v>
      </c>
      <c r="Q492" s="12">
        <v>12</v>
      </c>
      <c r="R492" s="13" t="s">
        <v>43</v>
      </c>
      <c r="S492" s="13"/>
      <c r="T492" s="15">
        <v>4000</v>
      </c>
      <c r="U492" s="13" t="s">
        <v>52</v>
      </c>
      <c r="V492" s="13" t="s">
        <v>45</v>
      </c>
      <c r="W492" s="12">
        <v>10</v>
      </c>
      <c r="X492" s="33" t="str">
        <f>HYPERLINK("https://www.alpinabook.ru/catalog/book-611992","ссылка на книгу")</f>
        <v>ссылка на книгу</v>
      </c>
      <c r="Y492" s="34" t="str">
        <f>HYPERLINK("https://api-enni.alpina.ru/FilePrivilegesApproval/54","https://api-enni.alpina.ru/FilePrivilegesApproval/54")</f>
        <v>https://api-enni.alpina.ru/FilePrivilegesApproval/54</v>
      </c>
      <c r="Z492" s="13"/>
      <c r="AT492" s="1">
        <f t="shared" si="55"/>
        <v>0</v>
      </c>
      <c r="AU492" s="1">
        <f t="shared" si="56"/>
        <v>0</v>
      </c>
      <c r="AV492" s="1">
        <f t="shared" si="57"/>
        <v>0</v>
      </c>
      <c r="AW492" s="1">
        <f t="shared" si="58"/>
        <v>0</v>
      </c>
      <c r="AX492" s="1">
        <f t="shared" si="59"/>
        <v>0</v>
      </c>
    </row>
    <row r="493" spans="1:50" s="1" customFormat="1" ht="24.95" customHeight="1" outlineLevel="3" x14ac:dyDescent="0.2">
      <c r="A493" s="11"/>
      <c r="B493" s="12">
        <v>440</v>
      </c>
      <c r="C493" s="12">
        <v>690</v>
      </c>
      <c r="D493" s="12">
        <v>26816</v>
      </c>
      <c r="E493" s="13" t="s">
        <v>1633</v>
      </c>
      <c r="F493" s="13" t="s">
        <v>1634</v>
      </c>
      <c r="G493" s="13" t="s">
        <v>56</v>
      </c>
      <c r="H493" s="13" t="s">
        <v>434</v>
      </c>
      <c r="I493" s="12">
        <v>2024</v>
      </c>
      <c r="J493" s="13" t="s">
        <v>1635</v>
      </c>
      <c r="K493" s="12">
        <v>9785961483123</v>
      </c>
      <c r="L493" s="13" t="s">
        <v>1636</v>
      </c>
      <c r="M493" s="12">
        <v>252</v>
      </c>
      <c r="N493" s="14">
        <v>0.32</v>
      </c>
      <c r="O493" s="12">
        <v>150</v>
      </c>
      <c r="P493" s="12">
        <v>210</v>
      </c>
      <c r="Q493" s="12">
        <v>18</v>
      </c>
      <c r="R493" s="13" t="s">
        <v>43</v>
      </c>
      <c r="S493" s="13"/>
      <c r="T493" s="15">
        <v>2000</v>
      </c>
      <c r="U493" s="13" t="s">
        <v>44</v>
      </c>
      <c r="V493" s="13" t="s">
        <v>45</v>
      </c>
      <c r="W493" s="12">
        <v>10</v>
      </c>
      <c r="X493" s="33" t="str">
        <f>HYPERLINK("https://www.alpinabook.ru/catalog/book-frantsuzskoe-iskusstvo-zhit-ne-napryagayas","ссылка на книгу")</f>
        <v>ссылка на книгу</v>
      </c>
      <c r="Y493" s="34" t="str">
        <f>HYPERLINK("https://api-enni.alpina.ru/FilePrivilegesApproval/231","https://api-enni.alpina.ru/FilePrivilegesApproval/231")</f>
        <v>https://api-enni.alpina.ru/FilePrivilegesApproval/231</v>
      </c>
      <c r="Z493" s="13"/>
      <c r="AT493" s="1">
        <f t="shared" si="55"/>
        <v>0</v>
      </c>
      <c r="AU493" s="1">
        <f t="shared" si="56"/>
        <v>0</v>
      </c>
      <c r="AV493" s="1">
        <f t="shared" si="57"/>
        <v>0</v>
      </c>
      <c r="AW493" s="1">
        <f t="shared" si="58"/>
        <v>0</v>
      </c>
      <c r="AX493" s="1">
        <f t="shared" si="59"/>
        <v>0</v>
      </c>
    </row>
    <row r="494" spans="1:50" s="1" customFormat="1" ht="24.95" customHeight="1" outlineLevel="3" x14ac:dyDescent="0.2">
      <c r="A494" s="11"/>
      <c r="B494" s="12">
        <v>620</v>
      </c>
      <c r="C494" s="12">
        <v>890</v>
      </c>
      <c r="D494" s="12">
        <v>32304</v>
      </c>
      <c r="E494" s="13" t="s">
        <v>798</v>
      </c>
      <c r="F494" s="13" t="s">
        <v>1637</v>
      </c>
      <c r="G494" s="13" t="s">
        <v>56</v>
      </c>
      <c r="H494" s="13" t="s">
        <v>40</v>
      </c>
      <c r="I494" s="12">
        <v>2025</v>
      </c>
      <c r="J494" s="13" t="s">
        <v>1638</v>
      </c>
      <c r="K494" s="12">
        <v>9785006301870</v>
      </c>
      <c r="L494" s="13" t="s">
        <v>1639</v>
      </c>
      <c r="M494" s="12">
        <v>308</v>
      </c>
      <c r="N494" s="14">
        <v>0.48</v>
      </c>
      <c r="O494" s="12">
        <v>150</v>
      </c>
      <c r="P494" s="12">
        <v>220</v>
      </c>
      <c r="Q494" s="12">
        <v>8</v>
      </c>
      <c r="R494" s="13" t="s">
        <v>43</v>
      </c>
      <c r="S494" s="13"/>
      <c r="T494" s="15">
        <v>3000</v>
      </c>
      <c r="U494" s="13" t="s">
        <v>52</v>
      </c>
      <c r="V494" s="13" t="s">
        <v>64</v>
      </c>
      <c r="W494" s="12">
        <v>10</v>
      </c>
      <c r="X494" s="33" t="str">
        <f>HYPERLINK("https://www.alpinabook.ru/catalog/book-kharizma-kak-vliyat","ссылка на книгу")</f>
        <v>ссылка на книгу</v>
      </c>
      <c r="Y494" s="34" t="str">
        <f>HYPERLINK("https://api-enni.alpina.ru/FilePrivilegesApproval/156","https://api-enni.alpina.ru/FilePrivilegesApproval/156")</f>
        <v>https://api-enni.alpina.ru/FilePrivilegesApproval/156</v>
      </c>
      <c r="Z494" s="13" t="s">
        <v>1640</v>
      </c>
      <c r="AT494" s="1">
        <f t="shared" si="55"/>
        <v>0</v>
      </c>
      <c r="AU494" s="1">
        <f t="shared" si="56"/>
        <v>0</v>
      </c>
      <c r="AV494" s="1">
        <f t="shared" si="57"/>
        <v>0</v>
      </c>
      <c r="AW494" s="1">
        <f t="shared" si="58"/>
        <v>0</v>
      </c>
      <c r="AX494" s="1">
        <f t="shared" si="59"/>
        <v>0</v>
      </c>
    </row>
    <row r="495" spans="1:50" s="1" customFormat="1" ht="24.95" customHeight="1" outlineLevel="3" x14ac:dyDescent="0.2">
      <c r="A495" s="11"/>
      <c r="B495" s="12">
        <v>490</v>
      </c>
      <c r="C495" s="12">
        <v>740</v>
      </c>
      <c r="D495" s="12">
        <v>27903</v>
      </c>
      <c r="E495" s="13" t="s">
        <v>1641</v>
      </c>
      <c r="F495" s="13" t="s">
        <v>1642</v>
      </c>
      <c r="G495" s="13" t="s">
        <v>56</v>
      </c>
      <c r="H495" s="13" t="s">
        <v>40</v>
      </c>
      <c r="I495" s="12">
        <v>2025</v>
      </c>
      <c r="J495" s="13" t="s">
        <v>1643</v>
      </c>
      <c r="K495" s="12">
        <v>9785961486711</v>
      </c>
      <c r="L495" s="13" t="s">
        <v>1644</v>
      </c>
      <c r="M495" s="12">
        <v>288</v>
      </c>
      <c r="N495" s="14">
        <v>0.35</v>
      </c>
      <c r="O495" s="12">
        <v>140</v>
      </c>
      <c r="P495" s="12">
        <v>210</v>
      </c>
      <c r="Q495" s="12">
        <v>14</v>
      </c>
      <c r="R495" s="13" t="s">
        <v>43</v>
      </c>
      <c r="S495" s="13"/>
      <c r="T495" s="15">
        <v>4000</v>
      </c>
      <c r="U495" s="13" t="s">
        <v>44</v>
      </c>
      <c r="V495" s="13" t="s">
        <v>45</v>
      </c>
      <c r="W495" s="12">
        <v>20</v>
      </c>
      <c r="X495" s="33" t="str">
        <f>HYPERLINK("https://www.alpinabook.ru/catalog/book-hvatit-byt-skromnym-parnem","ссылка на книгу")</f>
        <v>ссылка на книгу</v>
      </c>
      <c r="Y495" s="34" t="str">
        <f>HYPERLINK("https://api-enni.alpina.ru/FilePrivilegesApproval/321","https://api-enni.alpina.ru/FilePrivilegesApproval/321")</f>
        <v>https://api-enni.alpina.ru/FilePrivilegesApproval/321</v>
      </c>
      <c r="Z495" s="13"/>
      <c r="AT495" s="1">
        <f t="shared" si="55"/>
        <v>0</v>
      </c>
      <c r="AU495" s="1">
        <f t="shared" si="56"/>
        <v>0</v>
      </c>
      <c r="AV495" s="1">
        <f t="shared" si="57"/>
        <v>0</v>
      </c>
      <c r="AW495" s="1">
        <f t="shared" si="58"/>
        <v>0</v>
      </c>
      <c r="AX495" s="1">
        <f t="shared" si="59"/>
        <v>0</v>
      </c>
    </row>
    <row r="496" spans="1:50" s="1" customFormat="1" ht="24.95" customHeight="1" outlineLevel="3" x14ac:dyDescent="0.2">
      <c r="A496" s="11"/>
      <c r="B496" s="12">
        <v>490</v>
      </c>
      <c r="C496" s="12">
        <v>690</v>
      </c>
      <c r="D496" s="12">
        <v>26597</v>
      </c>
      <c r="E496" s="13" t="s">
        <v>1645</v>
      </c>
      <c r="F496" s="13" t="s">
        <v>1646</v>
      </c>
      <c r="G496" s="13" t="s">
        <v>56</v>
      </c>
      <c r="H496" s="13"/>
      <c r="I496" s="12">
        <v>2025</v>
      </c>
      <c r="J496" s="13" t="s">
        <v>1647</v>
      </c>
      <c r="K496" s="12">
        <v>9785961482379</v>
      </c>
      <c r="L496" s="13" t="s">
        <v>1648</v>
      </c>
      <c r="M496" s="12">
        <v>214</v>
      </c>
      <c r="N496" s="14">
        <v>0.37</v>
      </c>
      <c r="O496" s="12">
        <v>150</v>
      </c>
      <c r="P496" s="12">
        <v>220</v>
      </c>
      <c r="Q496" s="12">
        <v>10</v>
      </c>
      <c r="R496" s="13" t="s">
        <v>43</v>
      </c>
      <c r="S496" s="13"/>
      <c r="T496" s="15">
        <v>3000</v>
      </c>
      <c r="U496" s="13" t="s">
        <v>52</v>
      </c>
      <c r="V496" s="13" t="s">
        <v>45</v>
      </c>
      <c r="W496" s="12">
        <v>10</v>
      </c>
      <c r="X496" s="33" t="str">
        <f>HYPERLINK("https://www.alpinabook.ru/catalog/book-khoroshaya-pamyat","ссылка на книгу")</f>
        <v>ссылка на книгу</v>
      </c>
      <c r="Y496" s="34" t="str">
        <f>HYPERLINK("https://api-enni.alpina.ru/FilePrivilegesApproval/371","https://api-enni.alpina.ru/FilePrivilegesApproval/371")</f>
        <v>https://api-enni.alpina.ru/FilePrivilegesApproval/371</v>
      </c>
      <c r="Z496" s="13" t="s">
        <v>295</v>
      </c>
      <c r="AT496" s="1">
        <f t="shared" si="55"/>
        <v>0</v>
      </c>
      <c r="AU496" s="1">
        <f t="shared" si="56"/>
        <v>0</v>
      </c>
      <c r="AV496" s="1">
        <f t="shared" si="57"/>
        <v>0</v>
      </c>
      <c r="AW496" s="1">
        <f t="shared" si="58"/>
        <v>0</v>
      </c>
      <c r="AX496" s="1">
        <f t="shared" si="59"/>
        <v>0</v>
      </c>
    </row>
    <row r="497" spans="1:50" s="1" customFormat="1" ht="24.95" customHeight="1" outlineLevel="3" x14ac:dyDescent="0.2">
      <c r="A497" s="11"/>
      <c r="B497" s="12">
        <v>840</v>
      </c>
      <c r="C497" s="15">
        <v>1290</v>
      </c>
      <c r="D497" s="12">
        <v>23859</v>
      </c>
      <c r="E497" s="13" t="s">
        <v>760</v>
      </c>
      <c r="F497" s="13" t="s">
        <v>1649</v>
      </c>
      <c r="G497" s="13" t="s">
        <v>56</v>
      </c>
      <c r="H497" s="13" t="s">
        <v>40</v>
      </c>
      <c r="I497" s="12">
        <v>2025</v>
      </c>
      <c r="J497" s="13" t="s">
        <v>1650</v>
      </c>
      <c r="K497" s="12">
        <v>9785961480429</v>
      </c>
      <c r="L497" s="13" t="s">
        <v>1651</v>
      </c>
      <c r="M497" s="12">
        <v>679</v>
      </c>
      <c r="N497" s="14">
        <v>0.78</v>
      </c>
      <c r="O497" s="12">
        <v>140</v>
      </c>
      <c r="P497" s="12">
        <v>220</v>
      </c>
      <c r="Q497" s="12">
        <v>6</v>
      </c>
      <c r="R497" s="13" t="s">
        <v>43</v>
      </c>
      <c r="S497" s="13"/>
      <c r="T497" s="15">
        <v>3000</v>
      </c>
      <c r="U497" s="13" t="s">
        <v>44</v>
      </c>
      <c r="V497" s="13" t="s">
        <v>45</v>
      </c>
      <c r="W497" s="12">
        <v>10</v>
      </c>
      <c r="X497" s="33" t="str">
        <f>HYPERLINK("https://www.alpinabook.ru/catalog/book-horoshee-nastroenie","ссылка на книгу")</f>
        <v>ссылка на книгу</v>
      </c>
      <c r="Y497" s="34" t="str">
        <f>HYPERLINK("https://api-enni.alpina.ru/FilePrivilegesApproval/163","https://api-enni.alpina.ru/FilePrivilegesApproval/163")</f>
        <v>https://api-enni.alpina.ru/FilePrivilegesApproval/163</v>
      </c>
      <c r="Z497" s="13"/>
      <c r="AT497" s="1">
        <f t="shared" si="55"/>
        <v>0</v>
      </c>
      <c r="AU497" s="1">
        <f t="shared" si="56"/>
        <v>0</v>
      </c>
      <c r="AV497" s="1">
        <f t="shared" si="57"/>
        <v>0</v>
      </c>
      <c r="AW497" s="1">
        <f t="shared" si="58"/>
        <v>0</v>
      </c>
      <c r="AX497" s="1">
        <f t="shared" si="59"/>
        <v>0</v>
      </c>
    </row>
    <row r="498" spans="1:50" s="1" customFormat="1" ht="24.95" customHeight="1" outlineLevel="3" x14ac:dyDescent="0.2">
      <c r="A498" s="11"/>
      <c r="B498" s="12">
        <v>590</v>
      </c>
      <c r="C498" s="12">
        <v>840</v>
      </c>
      <c r="D498" s="12">
        <v>28953</v>
      </c>
      <c r="E498" s="13" t="s">
        <v>1652</v>
      </c>
      <c r="F498" s="13" t="s">
        <v>1653</v>
      </c>
      <c r="G498" s="13" t="s">
        <v>56</v>
      </c>
      <c r="H498" s="13" t="s">
        <v>40</v>
      </c>
      <c r="I498" s="12">
        <v>2025</v>
      </c>
      <c r="J498" s="13" t="s">
        <v>1654</v>
      </c>
      <c r="K498" s="12">
        <v>9785961490800</v>
      </c>
      <c r="L498" s="13" t="s">
        <v>1655</v>
      </c>
      <c r="M498" s="12">
        <v>312</v>
      </c>
      <c r="N498" s="14">
        <v>0.47</v>
      </c>
      <c r="O498" s="12">
        <v>150</v>
      </c>
      <c r="P498" s="12">
        <v>220</v>
      </c>
      <c r="Q498" s="12">
        <v>5</v>
      </c>
      <c r="R498" s="13" t="s">
        <v>43</v>
      </c>
      <c r="S498" s="13"/>
      <c r="T498" s="15">
        <v>1000</v>
      </c>
      <c r="U498" s="13" t="s">
        <v>52</v>
      </c>
      <c r="V498" s="13" t="s">
        <v>45</v>
      </c>
      <c r="W498" s="12">
        <v>10</v>
      </c>
      <c r="X498" s="33" t="str">
        <f>HYPERLINK("https://www.alpinabook.ru/catalog/book-khoroshie-manery","ссылка на книгу")</f>
        <v>ссылка на книгу</v>
      </c>
      <c r="Y498" s="34" t="str">
        <f>HYPERLINK("https://api-enni.alpina.ru/FilePrivilegesApproval/571","https://api-enni.alpina.ru/FilePrivilegesApproval/571")</f>
        <v>https://api-enni.alpina.ru/FilePrivilegesApproval/571</v>
      </c>
      <c r="Z498" s="13" t="s">
        <v>118</v>
      </c>
      <c r="AT498" s="1">
        <f t="shared" si="55"/>
        <v>0</v>
      </c>
      <c r="AU498" s="1">
        <f t="shared" si="56"/>
        <v>0</v>
      </c>
      <c r="AV498" s="1">
        <f t="shared" si="57"/>
        <v>0</v>
      </c>
      <c r="AW498" s="1">
        <f t="shared" si="58"/>
        <v>0</v>
      </c>
      <c r="AX498" s="1">
        <f t="shared" si="59"/>
        <v>0</v>
      </c>
    </row>
    <row r="499" spans="1:50" s="1" customFormat="1" ht="24.95" customHeight="1" outlineLevel="3" x14ac:dyDescent="0.2">
      <c r="A499" s="11"/>
      <c r="B499" s="12">
        <v>690</v>
      </c>
      <c r="C499" s="12">
        <v>990</v>
      </c>
      <c r="D499" s="12">
        <v>32181</v>
      </c>
      <c r="E499" s="13" t="s">
        <v>1656</v>
      </c>
      <c r="F499" s="13" t="s">
        <v>1657</v>
      </c>
      <c r="G499" s="13" t="s">
        <v>97</v>
      </c>
      <c r="H499" s="13"/>
      <c r="I499" s="12">
        <v>2024</v>
      </c>
      <c r="J499" s="13" t="s">
        <v>1658</v>
      </c>
      <c r="K499" s="12">
        <v>9785206004397</v>
      </c>
      <c r="L499" s="13" t="s">
        <v>1659</v>
      </c>
      <c r="M499" s="12">
        <v>272</v>
      </c>
      <c r="N499" s="14">
        <v>0.43</v>
      </c>
      <c r="O499" s="12">
        <v>150</v>
      </c>
      <c r="P499" s="12">
        <v>220</v>
      </c>
      <c r="Q499" s="12">
        <v>5</v>
      </c>
      <c r="R499" s="13" t="s">
        <v>43</v>
      </c>
      <c r="S499" s="13"/>
      <c r="T499" s="15">
        <v>1500</v>
      </c>
      <c r="U499" s="13" t="s">
        <v>52</v>
      </c>
      <c r="V499" s="13" t="s">
        <v>45</v>
      </c>
      <c r="W499" s="12">
        <v>10</v>
      </c>
      <c r="X499" s="33" t="str">
        <f>HYPERLINK("https://www.alpinabook.ru/catalog/book-happynomica","ссылка на книгу")</f>
        <v>ссылка на книгу</v>
      </c>
      <c r="Y499" s="34" t="str">
        <f>HYPERLINK("https://api-enni.alpina.ru/FilePrivilegesApproval/834","https://api-enni.alpina.ru/FilePrivilegesApproval/834")</f>
        <v>https://api-enni.alpina.ru/FilePrivilegesApproval/834</v>
      </c>
      <c r="Z499" s="13"/>
      <c r="AT499" s="1">
        <f t="shared" si="55"/>
        <v>0</v>
      </c>
      <c r="AU499" s="1">
        <f t="shared" si="56"/>
        <v>0</v>
      </c>
      <c r="AV499" s="1">
        <f t="shared" si="57"/>
        <v>0</v>
      </c>
      <c r="AW499" s="1">
        <f t="shared" si="58"/>
        <v>0</v>
      </c>
      <c r="AX499" s="1">
        <f t="shared" si="59"/>
        <v>0</v>
      </c>
    </row>
    <row r="500" spans="1:50" s="1" customFormat="1" ht="24.95" customHeight="1" outlineLevel="3" x14ac:dyDescent="0.2">
      <c r="A500" s="11"/>
      <c r="B500" s="12">
        <v>590</v>
      </c>
      <c r="C500" s="12">
        <v>590</v>
      </c>
      <c r="D500" s="12">
        <v>24146</v>
      </c>
      <c r="E500" s="13" t="s">
        <v>1660</v>
      </c>
      <c r="F500" s="13" t="s">
        <v>1661</v>
      </c>
      <c r="G500" s="13" t="s">
        <v>56</v>
      </c>
      <c r="H500" s="13"/>
      <c r="I500" s="12">
        <v>2022</v>
      </c>
      <c r="J500" s="13" t="s">
        <v>1662</v>
      </c>
      <c r="K500" s="12">
        <v>9785961474558</v>
      </c>
      <c r="L500" s="13" t="s">
        <v>1663</v>
      </c>
      <c r="M500" s="12">
        <v>174</v>
      </c>
      <c r="N500" s="14">
        <v>0.3</v>
      </c>
      <c r="O500" s="12">
        <v>153</v>
      </c>
      <c r="P500" s="12">
        <v>216</v>
      </c>
      <c r="Q500" s="12">
        <v>18</v>
      </c>
      <c r="R500" s="13" t="s">
        <v>43</v>
      </c>
      <c r="S500" s="13"/>
      <c r="T500" s="15">
        <v>1000</v>
      </c>
      <c r="U500" s="13" t="s">
        <v>52</v>
      </c>
      <c r="V500" s="13" t="s">
        <v>45</v>
      </c>
      <c r="W500" s="12">
        <v>10</v>
      </c>
      <c r="X500" s="33" t="str">
        <f>HYPERLINK("https://www.alpinabook.ru/catalog/book-chay-s-psihologom","ссылка на книгу")</f>
        <v>ссылка на книгу</v>
      </c>
      <c r="Y500" s="34" t="str">
        <f>HYPERLINK("https://api-enni.alpina.ru/FilePrivilegesApproval/140","https://api-enni.alpina.ru/FilePrivilegesApproval/140")</f>
        <v>https://api-enni.alpina.ru/FilePrivilegesApproval/140</v>
      </c>
      <c r="Z500" s="13"/>
      <c r="AT500" s="1">
        <f t="shared" si="55"/>
        <v>0</v>
      </c>
      <c r="AU500" s="1">
        <f t="shared" si="56"/>
        <v>0</v>
      </c>
      <c r="AV500" s="1">
        <f t="shared" si="57"/>
        <v>0</v>
      </c>
      <c r="AW500" s="1">
        <f t="shared" si="58"/>
        <v>0</v>
      </c>
      <c r="AX500" s="1">
        <f t="shared" si="59"/>
        <v>0</v>
      </c>
    </row>
    <row r="501" spans="1:50" s="1" customFormat="1" ht="24.95" customHeight="1" outlineLevel="3" x14ac:dyDescent="0.2">
      <c r="A501" s="11"/>
      <c r="B501" s="12">
        <v>440</v>
      </c>
      <c r="C501" s="12">
        <v>690</v>
      </c>
      <c r="D501" s="12">
        <v>30016</v>
      </c>
      <c r="E501" s="13" t="s">
        <v>1664</v>
      </c>
      <c r="F501" s="13" t="s">
        <v>1665</v>
      </c>
      <c r="G501" s="13" t="s">
        <v>56</v>
      </c>
      <c r="H501" s="13"/>
      <c r="I501" s="12">
        <v>2024</v>
      </c>
      <c r="J501" s="13" t="s">
        <v>1666</v>
      </c>
      <c r="K501" s="12">
        <v>9785961494563</v>
      </c>
      <c r="L501" s="13" t="s">
        <v>1667</v>
      </c>
      <c r="M501" s="12">
        <v>212</v>
      </c>
      <c r="N501" s="14">
        <v>0.21</v>
      </c>
      <c r="O501" s="12">
        <v>140</v>
      </c>
      <c r="P501" s="12">
        <v>210</v>
      </c>
      <c r="Q501" s="12">
        <v>18</v>
      </c>
      <c r="R501" s="13" t="s">
        <v>43</v>
      </c>
      <c r="S501" s="13"/>
      <c r="T501" s="15">
        <v>3000</v>
      </c>
      <c r="U501" s="13" t="s">
        <v>44</v>
      </c>
      <c r="V501" s="13" t="s">
        <v>89</v>
      </c>
      <c r="W501" s="12">
        <v>10</v>
      </c>
      <c r="X501" s="33" t="str">
        <f>HYPERLINK("https://www.alpinabook.ru/catalog/book-chhm","ссылка на книгу")</f>
        <v>ссылка на книгу</v>
      </c>
      <c r="Y501" s="34" t="str">
        <f>HYPERLINK("https://api-enni.alpina.ru/FilePrivilegesApproval/512","https://api-enni.alpina.ru/FilePrivilegesApproval/512")</f>
        <v>https://api-enni.alpina.ru/FilePrivilegesApproval/512</v>
      </c>
      <c r="Z501" s="13"/>
      <c r="AT501" s="1">
        <f t="shared" si="55"/>
        <v>0</v>
      </c>
      <c r="AU501" s="1">
        <f t="shared" si="56"/>
        <v>0</v>
      </c>
      <c r="AV501" s="1">
        <f t="shared" si="57"/>
        <v>0</v>
      </c>
      <c r="AW501" s="1">
        <f t="shared" si="58"/>
        <v>0</v>
      </c>
      <c r="AX501" s="1">
        <f t="shared" si="59"/>
        <v>0</v>
      </c>
    </row>
    <row r="502" spans="1:50" s="1" customFormat="1" ht="24.95" customHeight="1" outlineLevel="3" x14ac:dyDescent="0.2">
      <c r="A502" s="11"/>
      <c r="B502" s="12">
        <v>640</v>
      </c>
      <c r="C502" s="12">
        <v>940</v>
      </c>
      <c r="D502" s="12">
        <v>30381</v>
      </c>
      <c r="E502" s="13" t="s">
        <v>1668</v>
      </c>
      <c r="F502" s="13" t="s">
        <v>1669</v>
      </c>
      <c r="G502" s="13" t="s">
        <v>56</v>
      </c>
      <c r="H502" s="13" t="s">
        <v>40</v>
      </c>
      <c r="I502" s="12">
        <v>2024</v>
      </c>
      <c r="J502" s="13" t="s">
        <v>1670</v>
      </c>
      <c r="K502" s="12">
        <v>9785961495409</v>
      </c>
      <c r="L502" s="13" t="s">
        <v>1671</v>
      </c>
      <c r="M502" s="12">
        <v>167</v>
      </c>
      <c r="N502" s="14">
        <v>0.21</v>
      </c>
      <c r="O502" s="12">
        <v>140</v>
      </c>
      <c r="P502" s="12">
        <v>210</v>
      </c>
      <c r="Q502" s="12">
        <v>20</v>
      </c>
      <c r="R502" s="13" t="s">
        <v>43</v>
      </c>
      <c r="S502" s="13"/>
      <c r="T502" s="15">
        <v>1500</v>
      </c>
      <c r="U502" s="13" t="s">
        <v>44</v>
      </c>
      <c r="V502" s="13" t="s">
        <v>59</v>
      </c>
      <c r="W502" s="12">
        <v>10</v>
      </c>
      <c r="X502" s="33" t="str">
        <f>HYPERLINK("https://www.alpinabook.ru/catalog/book-chelovek-v-poiskakh-identichnosti","ссылка на книгу")</f>
        <v>ссылка на книгу</v>
      </c>
      <c r="Y502" s="34" t="str">
        <f>HYPERLINK("https://api-enni.alpina.ru/FilePrivilegesApproval/700","https://api-enni.alpina.ru/FilePrivilegesApproval/700")</f>
        <v>https://api-enni.alpina.ru/FilePrivilegesApproval/700</v>
      </c>
      <c r="Z502" s="13"/>
      <c r="AT502" s="1">
        <f t="shared" si="55"/>
        <v>0</v>
      </c>
      <c r="AU502" s="1">
        <f t="shared" si="56"/>
        <v>0</v>
      </c>
      <c r="AV502" s="1">
        <f t="shared" si="57"/>
        <v>0</v>
      </c>
      <c r="AW502" s="1">
        <f t="shared" si="58"/>
        <v>0</v>
      </c>
      <c r="AX502" s="1">
        <f t="shared" si="59"/>
        <v>0</v>
      </c>
    </row>
    <row r="503" spans="1:50" s="1" customFormat="1" ht="24.95" customHeight="1" outlineLevel="3" x14ac:dyDescent="0.2">
      <c r="A503" s="11"/>
      <c r="B503" s="12">
        <v>840</v>
      </c>
      <c r="C503" s="15">
        <v>1290</v>
      </c>
      <c r="D503" s="12">
        <v>26432</v>
      </c>
      <c r="E503" s="13" t="s">
        <v>1672</v>
      </c>
      <c r="F503" s="13" t="s">
        <v>1673</v>
      </c>
      <c r="G503" s="13" t="s">
        <v>56</v>
      </c>
      <c r="H503" s="13" t="s">
        <v>40</v>
      </c>
      <c r="I503" s="12">
        <v>2024</v>
      </c>
      <c r="J503" s="13" t="s">
        <v>1674</v>
      </c>
      <c r="K503" s="12">
        <v>9785961481655</v>
      </c>
      <c r="L503" s="13" t="s">
        <v>1675</v>
      </c>
      <c r="M503" s="12">
        <v>426</v>
      </c>
      <c r="N503" s="14">
        <v>0.53</v>
      </c>
      <c r="O503" s="12">
        <v>140</v>
      </c>
      <c r="P503" s="12">
        <v>210</v>
      </c>
      <c r="Q503" s="12">
        <v>10</v>
      </c>
      <c r="R503" s="13" t="s">
        <v>43</v>
      </c>
      <c r="S503" s="13"/>
      <c r="T503" s="15">
        <v>2000</v>
      </c>
      <c r="U503" s="13" t="s">
        <v>44</v>
      </c>
      <c r="V503" s="13" t="s">
        <v>45</v>
      </c>
      <c r="W503" s="12">
        <v>10</v>
      </c>
      <c r="X503" s="33" t="str">
        <f>HYPERLINK("https://www.alpinabook.ru/catalog/book-4-trimestr","ссылка на книгу")</f>
        <v>ссылка на книгу</v>
      </c>
      <c r="Y503" s="34" t="str">
        <f>HYPERLINK("https://api-enni.alpina.ru/FilePrivilegesApproval/535","https://api-enni.alpina.ru/FilePrivilegesApproval/535")</f>
        <v>https://api-enni.alpina.ru/FilePrivilegesApproval/535</v>
      </c>
      <c r="Z503" s="13"/>
      <c r="AT503" s="1">
        <f t="shared" si="55"/>
        <v>0</v>
      </c>
      <c r="AU503" s="1">
        <f t="shared" si="56"/>
        <v>0</v>
      </c>
      <c r="AV503" s="1">
        <f t="shared" si="57"/>
        <v>0</v>
      </c>
      <c r="AW503" s="1">
        <f t="shared" si="58"/>
        <v>0</v>
      </c>
      <c r="AX503" s="1">
        <f t="shared" si="59"/>
        <v>0</v>
      </c>
    </row>
    <row r="504" spans="1:50" s="1" customFormat="1" ht="24.95" customHeight="1" outlineLevel="3" x14ac:dyDescent="0.2">
      <c r="A504" s="11"/>
      <c r="B504" s="12">
        <v>640</v>
      </c>
      <c r="C504" s="12">
        <v>940</v>
      </c>
      <c r="D504" s="12">
        <v>18864</v>
      </c>
      <c r="E504" s="13" t="s">
        <v>816</v>
      </c>
      <c r="F504" s="13" t="s">
        <v>817</v>
      </c>
      <c r="G504" s="13" t="s">
        <v>56</v>
      </c>
      <c r="H504" s="13" t="s">
        <v>40</v>
      </c>
      <c r="I504" s="12">
        <v>2025</v>
      </c>
      <c r="J504" s="13" t="s">
        <v>818</v>
      </c>
      <c r="K504" s="12">
        <v>9785961475531</v>
      </c>
      <c r="L504" s="13" t="s">
        <v>819</v>
      </c>
      <c r="M504" s="12">
        <v>300</v>
      </c>
      <c r="N504" s="14">
        <v>0.46</v>
      </c>
      <c r="O504" s="12">
        <v>150</v>
      </c>
      <c r="P504" s="12">
        <v>220</v>
      </c>
      <c r="Q504" s="12">
        <v>5</v>
      </c>
      <c r="R504" s="13" t="s">
        <v>43</v>
      </c>
      <c r="S504" s="13"/>
      <c r="T504" s="15">
        <v>1000</v>
      </c>
      <c r="U504" s="13" t="s">
        <v>52</v>
      </c>
      <c r="V504" s="13" t="s">
        <v>64</v>
      </c>
      <c r="W504" s="12">
        <v>10</v>
      </c>
      <c r="X504" s="33" t="str">
        <f>HYPERLINK("https://www.alpinabook.ru/catalog/book-4-tipa-myshleniya-kniga-ii","ссылка на книгу")</f>
        <v>ссылка на книгу</v>
      </c>
      <c r="Y504" s="34" t="str">
        <f>HYPERLINK("https://api-enni.alpina.ru/FilePrivilegesApproval/152","https://api-enni.alpina.ru/FilePrivilegesApproval/152")</f>
        <v>https://api-enni.alpina.ru/FilePrivilegesApproval/152</v>
      </c>
      <c r="Z504" s="13" t="s">
        <v>282</v>
      </c>
      <c r="AT504" s="1">
        <f t="shared" si="55"/>
        <v>0</v>
      </c>
      <c r="AU504" s="1">
        <f t="shared" si="56"/>
        <v>0</v>
      </c>
      <c r="AV504" s="1">
        <f t="shared" si="57"/>
        <v>0</v>
      </c>
      <c r="AW504" s="1">
        <f t="shared" si="58"/>
        <v>0</v>
      </c>
      <c r="AX504" s="1">
        <f t="shared" si="59"/>
        <v>0</v>
      </c>
    </row>
    <row r="505" spans="1:50" s="1" customFormat="1" ht="24.95" customHeight="1" outlineLevel="3" x14ac:dyDescent="0.2">
      <c r="A505" s="11"/>
      <c r="B505" s="12">
        <v>640</v>
      </c>
      <c r="C505" s="12">
        <v>940</v>
      </c>
      <c r="D505" s="12">
        <v>18863</v>
      </c>
      <c r="E505" s="13" t="s">
        <v>816</v>
      </c>
      <c r="F505" s="13" t="s">
        <v>820</v>
      </c>
      <c r="G505" s="13" t="s">
        <v>56</v>
      </c>
      <c r="H505" s="13" t="s">
        <v>40</v>
      </c>
      <c r="I505" s="12">
        <v>2025</v>
      </c>
      <c r="J505" s="13" t="s">
        <v>821</v>
      </c>
      <c r="K505" s="12">
        <v>9785961475548</v>
      </c>
      <c r="L505" s="13" t="s">
        <v>822</v>
      </c>
      <c r="M505" s="12">
        <v>324</v>
      </c>
      <c r="N505" s="14">
        <v>0.49</v>
      </c>
      <c r="O505" s="12">
        <v>150</v>
      </c>
      <c r="P505" s="12">
        <v>220</v>
      </c>
      <c r="Q505" s="12">
        <v>5</v>
      </c>
      <c r="R505" s="13" t="s">
        <v>43</v>
      </c>
      <c r="S505" s="13"/>
      <c r="T505" s="15">
        <v>1000</v>
      </c>
      <c r="U505" s="13" t="s">
        <v>52</v>
      </c>
      <c r="V505" s="13" t="s">
        <v>64</v>
      </c>
      <c r="W505" s="12">
        <v>10</v>
      </c>
      <c r="X505" s="33" t="str">
        <f>HYPERLINK("https://www.alpinabook.ru/catalog/book-4-tipa-myshleniya-kniga-i","ссылка на книгу")</f>
        <v>ссылка на книгу</v>
      </c>
      <c r="Y505" s="34" t="str">
        <f>HYPERLINK("https://api-enni.alpina.ru/FilePrivilegesApproval/152","https://api-enni.alpina.ru/FilePrivilegesApproval/152")</f>
        <v>https://api-enni.alpina.ru/FilePrivilegesApproval/152</v>
      </c>
      <c r="Z505" s="13" t="s">
        <v>77</v>
      </c>
      <c r="AT505" s="1">
        <f t="shared" si="55"/>
        <v>0</v>
      </c>
      <c r="AU505" s="1">
        <f t="shared" si="56"/>
        <v>0</v>
      </c>
      <c r="AV505" s="1">
        <f t="shared" si="57"/>
        <v>0</v>
      </c>
      <c r="AW505" s="1">
        <f t="shared" si="58"/>
        <v>0</v>
      </c>
      <c r="AX505" s="1">
        <f t="shared" si="59"/>
        <v>0</v>
      </c>
    </row>
    <row r="506" spans="1:50" s="1" customFormat="1" ht="24.95" customHeight="1" outlineLevel="3" x14ac:dyDescent="0.2">
      <c r="A506" s="11"/>
      <c r="B506" s="12">
        <v>590</v>
      </c>
      <c r="C506" s="12">
        <v>840</v>
      </c>
      <c r="D506" s="12">
        <v>32291</v>
      </c>
      <c r="E506" s="13" t="s">
        <v>1676</v>
      </c>
      <c r="F506" s="13" t="s">
        <v>1677</v>
      </c>
      <c r="G506" s="13" t="s">
        <v>56</v>
      </c>
      <c r="H506" s="13" t="s">
        <v>40</v>
      </c>
      <c r="I506" s="12">
        <v>2025</v>
      </c>
      <c r="J506" s="13" t="s">
        <v>1678</v>
      </c>
      <c r="K506" s="12">
        <v>9785006302167</v>
      </c>
      <c r="L506" s="13" t="s">
        <v>1679</v>
      </c>
      <c r="M506" s="12">
        <v>268</v>
      </c>
      <c r="N506" s="14">
        <v>0.43</v>
      </c>
      <c r="O506" s="12">
        <v>150</v>
      </c>
      <c r="P506" s="12">
        <v>220</v>
      </c>
      <c r="Q506" s="12">
        <v>5</v>
      </c>
      <c r="R506" s="13" t="s">
        <v>43</v>
      </c>
      <c r="S506" s="13"/>
      <c r="T506" s="15">
        <v>1000</v>
      </c>
      <c r="U506" s="13" t="s">
        <v>52</v>
      </c>
      <c r="V506" s="13" t="s">
        <v>45</v>
      </c>
      <c r="W506" s="12">
        <v>10</v>
      </c>
      <c r="X506" s="33" t="str">
        <f>HYPERLINK("https://www.alpinabook.ru/catalog/book-4000-nedel","ссылка на книгу")</f>
        <v>ссылка на книгу</v>
      </c>
      <c r="Y506" s="34" t="str">
        <f>HYPERLINK("https://api-enni.alpina.ru/FilePrivilegesApproval/771","https://api-enni.alpina.ru/FilePrivilegesApproval/771")</f>
        <v>https://api-enni.alpina.ru/FilePrivilegesApproval/771</v>
      </c>
      <c r="Z506" s="13" t="s">
        <v>431</v>
      </c>
      <c r="AT506" s="1">
        <f t="shared" si="55"/>
        <v>0</v>
      </c>
      <c r="AU506" s="1">
        <f t="shared" si="56"/>
        <v>0</v>
      </c>
      <c r="AV506" s="1">
        <f t="shared" si="57"/>
        <v>0</v>
      </c>
      <c r="AW506" s="1">
        <f t="shared" si="58"/>
        <v>0</v>
      </c>
      <c r="AX506" s="1">
        <f t="shared" si="59"/>
        <v>0</v>
      </c>
    </row>
    <row r="507" spans="1:50" s="1" customFormat="1" ht="24.95" customHeight="1" outlineLevel="3" x14ac:dyDescent="0.2">
      <c r="A507" s="26"/>
      <c r="B507" s="27">
        <v>590</v>
      </c>
      <c r="C507" s="27">
        <v>840</v>
      </c>
      <c r="D507" s="27">
        <v>11432</v>
      </c>
      <c r="E507" s="29" t="s">
        <v>1680</v>
      </c>
      <c r="F507" s="29" t="s">
        <v>1681</v>
      </c>
      <c r="G507" s="29" t="s">
        <v>56</v>
      </c>
      <c r="H507" s="29" t="s">
        <v>40</v>
      </c>
      <c r="I507" s="27">
        <v>2023</v>
      </c>
      <c r="J507" s="29" t="s">
        <v>1682</v>
      </c>
      <c r="K507" s="27">
        <v>9785961469424</v>
      </c>
      <c r="L507" s="29" t="s">
        <v>1683</v>
      </c>
      <c r="M507" s="27">
        <v>192</v>
      </c>
      <c r="N507" s="30">
        <v>0.39</v>
      </c>
      <c r="O507" s="27">
        <v>163</v>
      </c>
      <c r="P507" s="27">
        <v>235</v>
      </c>
      <c r="Q507" s="27">
        <v>10</v>
      </c>
      <c r="R507" s="29" t="s">
        <v>94</v>
      </c>
      <c r="S507" s="29" t="s">
        <v>1684</v>
      </c>
      <c r="T507" s="28">
        <v>1500</v>
      </c>
      <c r="U507" s="29" t="s">
        <v>44</v>
      </c>
      <c r="V507" s="29" t="s">
        <v>59</v>
      </c>
      <c r="W507" s="27">
        <v>10</v>
      </c>
      <c r="X507" s="37" t="str">
        <f>HYPERLINK("https://www.alpinabook.ru/catalog/book-chto-by-skazal-freyd","ссылка на книгу")</f>
        <v>ссылка на книгу</v>
      </c>
      <c r="Y507" s="38" t="str">
        <f>HYPERLINK("https://api-enni.alpina.ru/FilePrivilegesApproval/2","https://api-enni.alpina.ru/FilePrivilegesApproval/2")</f>
        <v>https://api-enni.alpina.ru/FilePrivilegesApproval/2</v>
      </c>
      <c r="Z507" s="29"/>
      <c r="AT507" s="1">
        <f t="shared" si="55"/>
        <v>0</v>
      </c>
      <c r="AU507" s="1">
        <f t="shared" si="56"/>
        <v>0</v>
      </c>
      <c r="AV507" s="1">
        <f t="shared" si="57"/>
        <v>0</v>
      </c>
      <c r="AW507" s="1">
        <f t="shared" si="58"/>
        <v>0</v>
      </c>
      <c r="AX507" s="1">
        <f t="shared" si="59"/>
        <v>0</v>
      </c>
    </row>
    <row r="508" spans="1:50" s="1" customFormat="1" ht="24.95" customHeight="1" outlineLevel="3" x14ac:dyDescent="0.2">
      <c r="A508" s="11"/>
      <c r="B508" s="12">
        <v>290</v>
      </c>
      <c r="C508" s="12">
        <v>440</v>
      </c>
      <c r="D508" s="12">
        <v>28217</v>
      </c>
      <c r="E508" s="13" t="s">
        <v>945</v>
      </c>
      <c r="F508" s="13" t="s">
        <v>1685</v>
      </c>
      <c r="G508" s="13" t="s">
        <v>56</v>
      </c>
      <c r="H508" s="13" t="s">
        <v>947</v>
      </c>
      <c r="I508" s="12">
        <v>2024</v>
      </c>
      <c r="J508" s="13" t="s">
        <v>1686</v>
      </c>
      <c r="K508" s="12">
        <v>9785961487527</v>
      </c>
      <c r="L508" s="13" t="s">
        <v>1687</v>
      </c>
      <c r="M508" s="12">
        <v>170</v>
      </c>
      <c r="N508" s="14">
        <v>0.19</v>
      </c>
      <c r="O508" s="12">
        <v>130</v>
      </c>
      <c r="P508" s="12">
        <v>200</v>
      </c>
      <c r="Q508" s="12">
        <v>20</v>
      </c>
      <c r="R508" s="13" t="s">
        <v>82</v>
      </c>
      <c r="S508" s="13" t="s">
        <v>950</v>
      </c>
      <c r="T508" s="15">
        <v>4000</v>
      </c>
      <c r="U508" s="13" t="s">
        <v>44</v>
      </c>
      <c r="V508" s="13" t="s">
        <v>59</v>
      </c>
      <c r="W508" s="12">
        <v>10</v>
      </c>
      <c r="X508" s="33" t="str">
        <f>HYPERLINK("https://www.alpinabook.ru/catalog/book-chuvstvo-styda","ссылка на книгу")</f>
        <v>ссылка на книгу</v>
      </c>
      <c r="Y508" s="34" t="str">
        <f>HYPERLINK("https://api-enni.alpina.ru/FilePrivilegesApproval/132","https://api-enni.alpina.ru/FilePrivilegesApproval/132")</f>
        <v>https://api-enni.alpina.ru/FilePrivilegesApproval/132</v>
      </c>
      <c r="Z508" s="13"/>
      <c r="AT508" s="1">
        <f t="shared" si="55"/>
        <v>0</v>
      </c>
      <c r="AU508" s="1">
        <f t="shared" si="56"/>
        <v>0</v>
      </c>
      <c r="AV508" s="1">
        <f t="shared" si="57"/>
        <v>0</v>
      </c>
      <c r="AW508" s="1">
        <f t="shared" si="58"/>
        <v>0</v>
      </c>
      <c r="AX508" s="1">
        <f t="shared" si="59"/>
        <v>0</v>
      </c>
    </row>
    <row r="509" spans="1:50" s="1" customFormat="1" ht="24.95" customHeight="1" outlineLevel="3" x14ac:dyDescent="0.2">
      <c r="A509" s="11"/>
      <c r="B509" s="12">
        <v>690</v>
      </c>
      <c r="C509" s="12">
        <v>990</v>
      </c>
      <c r="D509" s="12">
        <v>25341</v>
      </c>
      <c r="E509" s="13" t="s">
        <v>1688</v>
      </c>
      <c r="F509" s="13" t="s">
        <v>1689</v>
      </c>
      <c r="G509" s="13" t="s">
        <v>56</v>
      </c>
      <c r="H509" s="13"/>
      <c r="I509" s="12">
        <v>2025</v>
      </c>
      <c r="J509" s="13" t="s">
        <v>1690</v>
      </c>
      <c r="K509" s="12">
        <v>9785961477573</v>
      </c>
      <c r="L509" s="13" t="s">
        <v>1691</v>
      </c>
      <c r="M509" s="12">
        <v>304</v>
      </c>
      <c r="N509" s="14">
        <v>0.38</v>
      </c>
      <c r="O509" s="12">
        <v>140</v>
      </c>
      <c r="P509" s="12">
        <v>210</v>
      </c>
      <c r="Q509" s="12">
        <v>6</v>
      </c>
      <c r="R509" s="13" t="s">
        <v>43</v>
      </c>
      <c r="S509" s="13"/>
      <c r="T509" s="15">
        <v>1000</v>
      </c>
      <c r="U509" s="13" t="s">
        <v>44</v>
      </c>
      <c r="V509" s="13" t="s">
        <v>89</v>
      </c>
      <c r="W509" s="12">
        <v>10</v>
      </c>
      <c r="X509" s="33" t="str">
        <f>HYPERLINK("https://www.alpinabook.ru/catalog/book-shizofreniya-bez-strakha","ссылка на книгу")</f>
        <v>ссылка на книгу</v>
      </c>
      <c r="Y509" s="34" t="str">
        <f>HYPERLINK("https://api-enni.alpina.ru/FilePrivilegesApproval/291","https://api-enni.alpina.ru/FilePrivilegesApproval/291")</f>
        <v>https://api-enni.alpina.ru/FilePrivilegesApproval/291</v>
      </c>
      <c r="Z509" s="13" t="s">
        <v>847</v>
      </c>
      <c r="AT509" s="1">
        <f t="shared" si="55"/>
        <v>0</v>
      </c>
      <c r="AU509" s="1">
        <f t="shared" si="56"/>
        <v>0</v>
      </c>
      <c r="AV509" s="1">
        <f t="shared" si="57"/>
        <v>0</v>
      </c>
      <c r="AW509" s="1">
        <f t="shared" si="58"/>
        <v>0</v>
      </c>
      <c r="AX509" s="1">
        <f t="shared" si="59"/>
        <v>0</v>
      </c>
    </row>
    <row r="510" spans="1:50" s="1" customFormat="1" ht="24.95" customHeight="1" outlineLevel="3" x14ac:dyDescent="0.2">
      <c r="A510" s="11"/>
      <c r="B510" s="12">
        <v>640</v>
      </c>
      <c r="C510" s="12">
        <v>940</v>
      </c>
      <c r="D510" s="12">
        <v>25312</v>
      </c>
      <c r="E510" s="13" t="s">
        <v>1692</v>
      </c>
      <c r="F510" s="13" t="s">
        <v>1693</v>
      </c>
      <c r="G510" s="13" t="s">
        <v>56</v>
      </c>
      <c r="H510" s="13" t="s">
        <v>40</v>
      </c>
      <c r="I510" s="12">
        <v>2025</v>
      </c>
      <c r="J510" s="13" t="s">
        <v>1694</v>
      </c>
      <c r="K510" s="12">
        <v>9785961477467</v>
      </c>
      <c r="L510" s="13" t="s">
        <v>1695</v>
      </c>
      <c r="M510" s="12">
        <v>342</v>
      </c>
      <c r="N510" s="14">
        <v>0.42</v>
      </c>
      <c r="O510" s="12">
        <v>150</v>
      </c>
      <c r="P510" s="12">
        <v>210</v>
      </c>
      <c r="Q510" s="12">
        <v>8</v>
      </c>
      <c r="R510" s="13" t="s">
        <v>43</v>
      </c>
      <c r="S510" s="13"/>
      <c r="T510" s="15">
        <v>1000</v>
      </c>
      <c r="U510" s="13" t="s">
        <v>44</v>
      </c>
      <c r="V510" s="13" t="s">
        <v>45</v>
      </c>
      <c r="W510" s="12">
        <v>10</v>
      </c>
      <c r="X510" s="33" t="str">
        <f>HYPERLINK("https://www.alpinabook.ru/catalog/book-emotsii-kotorye-nami-upravlyayut","ссылка на книгу")</f>
        <v>ссылка на книгу</v>
      </c>
      <c r="Y510" s="34" t="str">
        <f>HYPERLINK("https://api-enni.alpina.ru/FilePrivilegesApproval/300","https://api-enni.alpina.ru/FilePrivilegesApproval/300")</f>
        <v>https://api-enni.alpina.ru/FilePrivilegesApproval/300</v>
      </c>
      <c r="Z510" s="13" t="s">
        <v>847</v>
      </c>
      <c r="AT510" s="1">
        <f t="shared" si="55"/>
        <v>0</v>
      </c>
      <c r="AU510" s="1">
        <f t="shared" si="56"/>
        <v>0</v>
      </c>
      <c r="AV510" s="1">
        <f t="shared" si="57"/>
        <v>0</v>
      </c>
      <c r="AW510" s="1">
        <f t="shared" si="58"/>
        <v>0</v>
      </c>
      <c r="AX510" s="1">
        <f t="shared" si="59"/>
        <v>0</v>
      </c>
    </row>
    <row r="511" spans="1:50" s="1" customFormat="1" ht="24.95" customHeight="1" outlineLevel="3" x14ac:dyDescent="0.2">
      <c r="A511" s="11"/>
      <c r="B511" s="12">
        <v>790</v>
      </c>
      <c r="C511" s="15">
        <v>1190</v>
      </c>
      <c r="D511" s="12">
        <v>26639</v>
      </c>
      <c r="E511" s="13" t="s">
        <v>1696</v>
      </c>
      <c r="F511" s="13" t="s">
        <v>1697</v>
      </c>
      <c r="G511" s="13" t="s">
        <v>56</v>
      </c>
      <c r="H511" s="13" t="s">
        <v>1391</v>
      </c>
      <c r="I511" s="12">
        <v>2025</v>
      </c>
      <c r="J511" s="13" t="s">
        <v>1698</v>
      </c>
      <c r="K511" s="12">
        <v>9785961482478</v>
      </c>
      <c r="L511" s="13" t="s">
        <v>1699</v>
      </c>
      <c r="M511" s="12">
        <v>602</v>
      </c>
      <c r="N511" s="14">
        <v>0.72</v>
      </c>
      <c r="O511" s="12">
        <v>140</v>
      </c>
      <c r="P511" s="12">
        <v>210</v>
      </c>
      <c r="Q511" s="12">
        <v>4</v>
      </c>
      <c r="R511" s="13" t="s">
        <v>43</v>
      </c>
      <c r="S511" s="13"/>
      <c r="T511" s="15">
        <v>1000</v>
      </c>
      <c r="U511" s="13" t="s">
        <v>44</v>
      </c>
      <c r="V511" s="13" t="s">
        <v>45</v>
      </c>
      <c r="W511" s="12">
        <v>10</v>
      </c>
      <c r="X511" s="33" t="str">
        <f>HYPERLINK("https://www.alpinabook.ru/catalog/book-entsiklopediya-logicheskikh-oshibok","ссылка на книгу")</f>
        <v>ссылка на книгу</v>
      </c>
      <c r="Y511" s="34" t="str">
        <f>HYPERLINK("https://api-enni.alpina.ru/FilePrivilegesApproval/746","https://api-enni.alpina.ru/FilePrivilegesApproval/746")</f>
        <v>https://api-enni.alpina.ru/FilePrivilegesApproval/746</v>
      </c>
      <c r="Z511" s="13" t="s">
        <v>387</v>
      </c>
      <c r="AT511" s="1">
        <f t="shared" si="55"/>
        <v>0</v>
      </c>
      <c r="AU511" s="1">
        <f t="shared" si="56"/>
        <v>0</v>
      </c>
      <c r="AV511" s="1">
        <f t="shared" si="57"/>
        <v>0</v>
      </c>
      <c r="AW511" s="1">
        <f t="shared" si="58"/>
        <v>0</v>
      </c>
      <c r="AX511" s="1">
        <f t="shared" si="59"/>
        <v>0</v>
      </c>
    </row>
    <row r="512" spans="1:50" s="1" customFormat="1" ht="24.95" customHeight="1" outlineLevel="3" x14ac:dyDescent="0.2">
      <c r="A512" s="11"/>
      <c r="B512" s="12">
        <v>540</v>
      </c>
      <c r="C512" s="12">
        <v>740</v>
      </c>
      <c r="D512" s="12">
        <v>31361</v>
      </c>
      <c r="E512" s="13" t="s">
        <v>1700</v>
      </c>
      <c r="F512" s="13" t="s">
        <v>1701</v>
      </c>
      <c r="G512" s="13" t="s">
        <v>56</v>
      </c>
      <c r="H512" s="13"/>
      <c r="I512" s="12">
        <v>2025</v>
      </c>
      <c r="J512" s="13" t="s">
        <v>1702</v>
      </c>
      <c r="K512" s="12">
        <v>9785961498325</v>
      </c>
      <c r="L512" s="13" t="s">
        <v>1703</v>
      </c>
      <c r="M512" s="12">
        <v>230</v>
      </c>
      <c r="N512" s="14">
        <v>0.28999999999999998</v>
      </c>
      <c r="O512" s="12">
        <v>140</v>
      </c>
      <c r="P512" s="12">
        <v>210</v>
      </c>
      <c r="Q512" s="12">
        <v>20</v>
      </c>
      <c r="R512" s="13" t="s">
        <v>43</v>
      </c>
      <c r="S512" s="13"/>
      <c r="T512" s="15">
        <v>3000</v>
      </c>
      <c r="U512" s="13" t="s">
        <v>44</v>
      </c>
      <c r="V512" s="13" t="s">
        <v>45</v>
      </c>
      <c r="W512" s="12">
        <v>10</v>
      </c>
      <c r="X512" s="33" t="str">
        <f>HYPERLINK("https://www.alpinabook.ru/catalog/book-epokha-vygorayushchikh-supergeroev","ссылка на книгу")</f>
        <v>ссылка на книгу</v>
      </c>
      <c r="Y512" s="34" t="str">
        <f>HYPERLINK("","")</f>
        <v/>
      </c>
      <c r="Z512" s="13" t="s">
        <v>1704</v>
      </c>
      <c r="AT512" s="1">
        <f t="shared" si="55"/>
        <v>0</v>
      </c>
      <c r="AU512" s="1">
        <f t="shared" si="56"/>
        <v>0</v>
      </c>
      <c r="AV512" s="1">
        <f t="shared" si="57"/>
        <v>0</v>
      </c>
      <c r="AW512" s="1">
        <f t="shared" si="58"/>
        <v>0</v>
      </c>
      <c r="AX512" s="1">
        <f t="shared" si="59"/>
        <v>0</v>
      </c>
    </row>
    <row r="513" spans="1:50" s="1" customFormat="1" ht="24.95" customHeight="1" outlineLevel="3" x14ac:dyDescent="0.2">
      <c r="A513" s="11"/>
      <c r="B513" s="12">
        <v>540</v>
      </c>
      <c r="C513" s="12">
        <v>790</v>
      </c>
      <c r="D513" s="12">
        <v>28827</v>
      </c>
      <c r="E513" s="13" t="s">
        <v>71</v>
      </c>
      <c r="F513" s="13" t="s">
        <v>1705</v>
      </c>
      <c r="G513" s="13" t="s">
        <v>56</v>
      </c>
      <c r="H513" s="13"/>
      <c r="I513" s="12">
        <v>2025</v>
      </c>
      <c r="J513" s="13" t="s">
        <v>1706</v>
      </c>
      <c r="K513" s="12">
        <v>9785961490183</v>
      </c>
      <c r="L513" s="13" t="s">
        <v>1707</v>
      </c>
      <c r="M513" s="12">
        <v>252</v>
      </c>
      <c r="N513" s="14">
        <v>0.41</v>
      </c>
      <c r="O513" s="12">
        <v>150</v>
      </c>
      <c r="P513" s="12">
        <v>220</v>
      </c>
      <c r="Q513" s="12">
        <v>14</v>
      </c>
      <c r="R513" s="13" t="s">
        <v>43</v>
      </c>
      <c r="S513" s="13"/>
      <c r="T513" s="15">
        <v>1500</v>
      </c>
      <c r="U513" s="13" t="s">
        <v>52</v>
      </c>
      <c r="V513" s="13" t="s">
        <v>45</v>
      </c>
      <c r="W513" s="12">
        <v>10</v>
      </c>
      <c r="X513" s="33" t="str">
        <f>HYPERLINK("https://www.alpinabook.ru/catalog/book-eto-ne-ustalost","ссылка на книгу")</f>
        <v>ссылка на книгу</v>
      </c>
      <c r="Y513" s="34" t="str">
        <f>HYPERLINK("https://api-enni.alpina.ru/FilePrivilegesApproval/396","https://api-enni.alpina.ru/FilePrivilegesApproval/396")</f>
        <v>https://api-enni.alpina.ru/FilePrivilegesApproval/396</v>
      </c>
      <c r="Z513" s="13"/>
      <c r="AT513" s="1">
        <f t="shared" si="55"/>
        <v>0</v>
      </c>
      <c r="AU513" s="1">
        <f t="shared" si="56"/>
        <v>0</v>
      </c>
      <c r="AV513" s="1">
        <f t="shared" si="57"/>
        <v>0</v>
      </c>
      <c r="AW513" s="1">
        <f t="shared" si="58"/>
        <v>0</v>
      </c>
      <c r="AX513" s="1">
        <f t="shared" si="59"/>
        <v>0</v>
      </c>
    </row>
    <row r="514" spans="1:50" s="1" customFormat="1" ht="24.95" customHeight="1" outlineLevel="3" x14ac:dyDescent="0.2">
      <c r="A514" s="11"/>
      <c r="B514" s="12">
        <v>590</v>
      </c>
      <c r="C514" s="12">
        <v>840</v>
      </c>
      <c r="D514" s="12">
        <v>28023</v>
      </c>
      <c r="E514" s="13" t="s">
        <v>1708</v>
      </c>
      <c r="F514" s="13" t="s">
        <v>1709</v>
      </c>
      <c r="G514" s="13" t="s">
        <v>56</v>
      </c>
      <c r="H514" s="13"/>
      <c r="I514" s="12">
        <v>2024</v>
      </c>
      <c r="J514" s="13" t="s">
        <v>1710</v>
      </c>
      <c r="K514" s="12">
        <v>9785961487046</v>
      </c>
      <c r="L514" s="13" t="s">
        <v>1711</v>
      </c>
      <c r="M514" s="12">
        <v>235</v>
      </c>
      <c r="N514" s="14">
        <v>0.4</v>
      </c>
      <c r="O514" s="12">
        <v>150</v>
      </c>
      <c r="P514" s="12">
        <v>220</v>
      </c>
      <c r="Q514" s="12">
        <v>16</v>
      </c>
      <c r="R514" s="13" t="s">
        <v>43</v>
      </c>
      <c r="S514" s="13"/>
      <c r="T514" s="15">
        <v>2000</v>
      </c>
      <c r="U514" s="13" t="s">
        <v>52</v>
      </c>
      <c r="V514" s="13" t="s">
        <v>59</v>
      </c>
      <c r="W514" s="12">
        <v>10</v>
      </c>
      <c r="X514" s="33" t="str">
        <f>HYPERLINK("https://www.alpinabook.ru/catalog/book-eto-perekhodit-vse-granitsy","ссылка на книгу")</f>
        <v>ссылка на книгу</v>
      </c>
      <c r="Y514" s="34" t="str">
        <f>HYPERLINK("https://api-enni.alpina.ru/FilePrivilegesApproval/379","https://api-enni.alpina.ru/FilePrivilegesApproval/379")</f>
        <v>https://api-enni.alpina.ru/FilePrivilegesApproval/379</v>
      </c>
      <c r="Z514" s="13"/>
      <c r="AT514" s="1">
        <f t="shared" si="55"/>
        <v>0</v>
      </c>
      <c r="AU514" s="1">
        <f t="shared" si="56"/>
        <v>0</v>
      </c>
      <c r="AV514" s="1">
        <f t="shared" si="57"/>
        <v>0</v>
      </c>
      <c r="AW514" s="1">
        <f t="shared" si="58"/>
        <v>0</v>
      </c>
      <c r="AX514" s="1">
        <f t="shared" si="59"/>
        <v>0</v>
      </c>
    </row>
    <row r="515" spans="1:50" s="1" customFormat="1" ht="24.95" customHeight="1" outlineLevel="3" x14ac:dyDescent="0.2">
      <c r="A515" s="11"/>
      <c r="B515" s="12">
        <v>540</v>
      </c>
      <c r="C515" s="12">
        <v>790</v>
      </c>
      <c r="D515" s="12">
        <v>24894</v>
      </c>
      <c r="E515" s="13" t="s">
        <v>1712</v>
      </c>
      <c r="F515" s="13" t="s">
        <v>1713</v>
      </c>
      <c r="G515" s="13" t="s">
        <v>56</v>
      </c>
      <c r="H515" s="13" t="s">
        <v>40</v>
      </c>
      <c r="I515" s="12">
        <v>2023</v>
      </c>
      <c r="J515" s="13" t="s">
        <v>1714</v>
      </c>
      <c r="K515" s="12">
        <v>9785961480009</v>
      </c>
      <c r="L515" s="13" t="s">
        <v>1715</v>
      </c>
      <c r="M515" s="12">
        <v>128</v>
      </c>
      <c r="N515" s="14">
        <v>0.35</v>
      </c>
      <c r="O515" s="12">
        <v>170</v>
      </c>
      <c r="P515" s="12">
        <v>230</v>
      </c>
      <c r="Q515" s="12">
        <v>12</v>
      </c>
      <c r="R515" s="13" t="s">
        <v>100</v>
      </c>
      <c r="S515" s="13"/>
      <c r="T515" s="15">
        <v>2000</v>
      </c>
      <c r="U515" s="13" t="s">
        <v>52</v>
      </c>
      <c r="V515" s="13" t="s">
        <v>64</v>
      </c>
      <c r="W515" s="12">
        <v>10</v>
      </c>
      <c r="X515" s="33" t="str">
        <f>HYPERLINK("https://www.alpinabook.ru/catalog/book-eto-prosto-ya","ссылка на книгу")</f>
        <v>ссылка на книгу</v>
      </c>
      <c r="Y515" s="34" t="str">
        <f>HYPERLINK("https://api-enni.alpina.ru/FilePrivilegesApproval/163","https://api-enni.alpina.ru/FilePrivilegesApproval/163")</f>
        <v>https://api-enni.alpina.ru/FilePrivilegesApproval/163</v>
      </c>
      <c r="Z515" s="13"/>
      <c r="AT515" s="1">
        <f t="shared" si="55"/>
        <v>0</v>
      </c>
      <c r="AU515" s="1">
        <f t="shared" si="56"/>
        <v>0</v>
      </c>
      <c r="AV515" s="1">
        <f t="shared" si="57"/>
        <v>0</v>
      </c>
      <c r="AW515" s="1">
        <f t="shared" si="58"/>
        <v>0</v>
      </c>
      <c r="AX515" s="1">
        <f t="shared" si="59"/>
        <v>0</v>
      </c>
    </row>
    <row r="516" spans="1:50" s="1" customFormat="1" ht="24.95" customHeight="1" outlineLevel="3" x14ac:dyDescent="0.2">
      <c r="A516" s="11"/>
      <c r="B516" s="12">
        <v>440</v>
      </c>
      <c r="C516" s="12">
        <v>690</v>
      </c>
      <c r="D516" s="12">
        <v>28294</v>
      </c>
      <c r="E516" s="13" t="s">
        <v>1716</v>
      </c>
      <c r="F516" s="13" t="s">
        <v>1717</v>
      </c>
      <c r="G516" s="13" t="s">
        <v>56</v>
      </c>
      <c r="H516" s="13" t="s">
        <v>236</v>
      </c>
      <c r="I516" s="12">
        <v>2025</v>
      </c>
      <c r="J516" s="13" t="s">
        <v>1718</v>
      </c>
      <c r="K516" s="12">
        <v>9785961480276</v>
      </c>
      <c r="L516" s="13" t="s">
        <v>1719</v>
      </c>
      <c r="M516" s="12">
        <v>206</v>
      </c>
      <c r="N516" s="14">
        <v>0.18</v>
      </c>
      <c r="O516" s="12">
        <v>140</v>
      </c>
      <c r="P516" s="12">
        <v>210</v>
      </c>
      <c r="Q516" s="12">
        <v>16</v>
      </c>
      <c r="R516" s="13" t="s">
        <v>43</v>
      </c>
      <c r="S516" s="13"/>
      <c r="T516" s="15">
        <v>2000</v>
      </c>
      <c r="U516" s="13" t="s">
        <v>44</v>
      </c>
      <c r="V516" s="13" t="s">
        <v>59</v>
      </c>
      <c r="W516" s="12">
        <v>10</v>
      </c>
      <c r="X516" s="33" t="str">
        <f>HYPERLINK("https://www.alpinabook.ru/catalog/book-ya-bolshe-ne-khochu-vsem-nravitsya","ссылка на книгу")</f>
        <v>ссылка на книгу</v>
      </c>
      <c r="Y516" s="34" t="str">
        <f>HYPERLINK("https://api-enni.alpina.ru/FilePrivilegesApproval/388","https://api-enni.alpina.ru/FilePrivilegesApproval/388")</f>
        <v>https://api-enni.alpina.ru/FilePrivilegesApproval/388</v>
      </c>
      <c r="Z516" s="13" t="s">
        <v>1413</v>
      </c>
      <c r="AT516" s="1">
        <f t="shared" si="55"/>
        <v>0</v>
      </c>
      <c r="AU516" s="1">
        <f t="shared" si="56"/>
        <v>0</v>
      </c>
      <c r="AV516" s="1">
        <f t="shared" si="57"/>
        <v>0</v>
      </c>
      <c r="AW516" s="1">
        <f t="shared" si="58"/>
        <v>0</v>
      </c>
      <c r="AX516" s="1">
        <f t="shared" si="59"/>
        <v>0</v>
      </c>
    </row>
    <row r="517" spans="1:50" s="1" customFormat="1" ht="24.95" customHeight="1" outlineLevel="3" x14ac:dyDescent="0.2">
      <c r="A517" s="11"/>
      <c r="B517" s="12">
        <v>540</v>
      </c>
      <c r="C517" s="12">
        <v>790</v>
      </c>
      <c r="D517" s="12">
        <v>26485</v>
      </c>
      <c r="E517" s="13" t="s">
        <v>1720</v>
      </c>
      <c r="F517" s="13" t="s">
        <v>1721</v>
      </c>
      <c r="G517" s="13" t="s">
        <v>56</v>
      </c>
      <c r="H517" s="13" t="s">
        <v>40</v>
      </c>
      <c r="I517" s="12">
        <v>2024</v>
      </c>
      <c r="J517" s="13" t="s">
        <v>1722</v>
      </c>
      <c r="K517" s="12">
        <v>9785961481945</v>
      </c>
      <c r="L517" s="13" t="s">
        <v>1723</v>
      </c>
      <c r="M517" s="12">
        <v>320</v>
      </c>
      <c r="N517" s="14">
        <v>0.49</v>
      </c>
      <c r="O517" s="12">
        <v>150</v>
      </c>
      <c r="P517" s="12">
        <v>220</v>
      </c>
      <c r="Q517" s="12">
        <v>12</v>
      </c>
      <c r="R517" s="13" t="s">
        <v>43</v>
      </c>
      <c r="S517" s="13"/>
      <c r="T517" s="15">
        <v>2500</v>
      </c>
      <c r="U517" s="13" t="s">
        <v>52</v>
      </c>
      <c r="V517" s="13" t="s">
        <v>45</v>
      </c>
      <c r="W517" s="12">
        <v>10</v>
      </c>
      <c r="X517" s="33" t="str">
        <f>HYPERLINK("https://www.alpinabook.ru/catalog/book-ya-vsye","ссылка на книгу")</f>
        <v>ссылка на книгу</v>
      </c>
      <c r="Y517" s="34" t="str">
        <f>HYPERLINK("https://api-enni.alpina.ru/FilePrivilegesApproval/363","https://api-enni.alpina.ru/FilePrivilegesApproval/363")</f>
        <v>https://api-enni.alpina.ru/FilePrivilegesApproval/363</v>
      </c>
      <c r="Z517" s="13"/>
      <c r="AT517" s="1">
        <f t="shared" si="55"/>
        <v>0</v>
      </c>
      <c r="AU517" s="1">
        <f t="shared" si="56"/>
        <v>0</v>
      </c>
      <c r="AV517" s="1">
        <f t="shared" si="57"/>
        <v>0</v>
      </c>
      <c r="AW517" s="1">
        <f t="shared" si="58"/>
        <v>0</v>
      </c>
      <c r="AX517" s="1">
        <f t="shared" si="59"/>
        <v>0</v>
      </c>
    </row>
    <row r="518" spans="1:50" s="1" customFormat="1" ht="24.95" customHeight="1" outlineLevel="3" x14ac:dyDescent="0.2">
      <c r="A518" s="11"/>
      <c r="B518" s="12">
        <v>490</v>
      </c>
      <c r="C518" s="12">
        <v>740</v>
      </c>
      <c r="D518" s="12">
        <v>27803</v>
      </c>
      <c r="E518" s="13" t="s">
        <v>1289</v>
      </c>
      <c r="F518" s="13" t="s">
        <v>1724</v>
      </c>
      <c r="G518" s="13" t="s">
        <v>56</v>
      </c>
      <c r="H518" s="13"/>
      <c r="I518" s="12">
        <v>2025</v>
      </c>
      <c r="J518" s="13" t="s">
        <v>1725</v>
      </c>
      <c r="K518" s="12">
        <v>9785961486438</v>
      </c>
      <c r="L518" s="13" t="s">
        <v>1726</v>
      </c>
      <c r="M518" s="12">
        <v>216</v>
      </c>
      <c r="N518" s="14">
        <v>0.27</v>
      </c>
      <c r="O518" s="12">
        <v>140</v>
      </c>
      <c r="P518" s="12">
        <v>210</v>
      </c>
      <c r="Q518" s="12">
        <v>10</v>
      </c>
      <c r="R518" s="13" t="s">
        <v>43</v>
      </c>
      <c r="S518" s="13"/>
      <c r="T518" s="15">
        <v>1000</v>
      </c>
      <c r="U518" s="13" t="s">
        <v>44</v>
      </c>
      <c r="V518" s="13" t="s">
        <v>45</v>
      </c>
      <c r="W518" s="12">
        <v>10</v>
      </c>
      <c r="X518" s="33" t="str">
        <f>HYPERLINK("https://www.alpinabook.ru/catalog/book-ya-i-moi-dengi","ссылка на книгу")</f>
        <v>ссылка на книгу</v>
      </c>
      <c r="Y518" s="34" t="str">
        <f>HYPERLINK("https://api-enni.alpina.ru/FilePrivilegesApproval/214","https://api-enni.alpina.ru/FilePrivilegesApproval/214")</f>
        <v>https://api-enni.alpina.ru/FilePrivilegesApproval/214</v>
      </c>
      <c r="Z518" s="13" t="s">
        <v>77</v>
      </c>
      <c r="AT518" s="1">
        <f t="shared" si="55"/>
        <v>0</v>
      </c>
      <c r="AU518" s="1">
        <f t="shared" si="56"/>
        <v>0</v>
      </c>
      <c r="AV518" s="1">
        <f t="shared" si="57"/>
        <v>0</v>
      </c>
      <c r="AW518" s="1">
        <f t="shared" si="58"/>
        <v>0</v>
      </c>
      <c r="AX518" s="1">
        <f t="shared" si="59"/>
        <v>0</v>
      </c>
    </row>
    <row r="519" spans="1:50" s="1" customFormat="1" ht="24.95" customHeight="1" outlineLevel="3" x14ac:dyDescent="0.2">
      <c r="A519" s="11"/>
      <c r="B519" s="12">
        <v>540</v>
      </c>
      <c r="C519" s="12">
        <v>790</v>
      </c>
      <c r="D519" s="12">
        <v>28959</v>
      </c>
      <c r="E519" s="13" t="s">
        <v>1727</v>
      </c>
      <c r="F519" s="13" t="s">
        <v>1728</v>
      </c>
      <c r="G519" s="13" t="s">
        <v>56</v>
      </c>
      <c r="H519" s="13" t="s">
        <v>200</v>
      </c>
      <c r="I519" s="12">
        <v>2025</v>
      </c>
      <c r="J519" s="13" t="s">
        <v>1729</v>
      </c>
      <c r="K519" s="12">
        <v>9785961490848</v>
      </c>
      <c r="L519" s="13" t="s">
        <v>1730</v>
      </c>
      <c r="M519" s="12">
        <v>268</v>
      </c>
      <c r="N519" s="14">
        <v>0.35</v>
      </c>
      <c r="O519" s="12">
        <v>140</v>
      </c>
      <c r="P519" s="12">
        <v>210</v>
      </c>
      <c r="Q519" s="12">
        <v>10</v>
      </c>
      <c r="R519" s="13" t="s">
        <v>43</v>
      </c>
      <c r="S519" s="13"/>
      <c r="T519" s="15">
        <v>1000</v>
      </c>
      <c r="U519" s="13" t="s">
        <v>44</v>
      </c>
      <c r="V519" s="13" t="s">
        <v>59</v>
      </c>
      <c r="W519" s="12">
        <v>10</v>
      </c>
      <c r="X519" s="33" t="str">
        <f>HYPERLINK("https://www.alpinabook.ru/catalog/book-ya-i-moi-emotsii","ссылка на книгу")</f>
        <v>ссылка на книгу</v>
      </c>
      <c r="Y519" s="34" t="str">
        <f>HYPERLINK("https://api-enni.alpina.ru/FilePrivilegesApproval/500","https://api-enni.alpina.ru/FilePrivilegesApproval/500")</f>
        <v>https://api-enni.alpina.ru/FilePrivilegesApproval/500</v>
      </c>
      <c r="Z519" s="13" t="s">
        <v>387</v>
      </c>
      <c r="AT519" s="1">
        <f t="shared" si="55"/>
        <v>0</v>
      </c>
      <c r="AU519" s="1">
        <f t="shared" si="56"/>
        <v>0</v>
      </c>
      <c r="AV519" s="1">
        <f t="shared" si="57"/>
        <v>0</v>
      </c>
      <c r="AW519" s="1">
        <f t="shared" si="58"/>
        <v>0</v>
      </c>
      <c r="AX519" s="1">
        <f t="shared" si="59"/>
        <v>0</v>
      </c>
    </row>
    <row r="520" spans="1:50" s="1" customFormat="1" ht="24.95" customHeight="1" outlineLevel="3" x14ac:dyDescent="0.2">
      <c r="A520" s="11"/>
      <c r="B520" s="12">
        <v>290</v>
      </c>
      <c r="C520" s="12">
        <v>440</v>
      </c>
      <c r="D520" s="12">
        <v>28958</v>
      </c>
      <c r="E520" s="13" t="s">
        <v>945</v>
      </c>
      <c r="F520" s="13" t="s">
        <v>1731</v>
      </c>
      <c r="G520" s="13" t="s">
        <v>56</v>
      </c>
      <c r="H520" s="13" t="s">
        <v>40</v>
      </c>
      <c r="I520" s="12">
        <v>2025</v>
      </c>
      <c r="J520" s="13" t="s">
        <v>1732</v>
      </c>
      <c r="K520" s="12">
        <v>9785961490831</v>
      </c>
      <c r="L520" s="13" t="s">
        <v>1733</v>
      </c>
      <c r="M520" s="12">
        <v>170</v>
      </c>
      <c r="N520" s="14">
        <v>0.18</v>
      </c>
      <c r="O520" s="12">
        <v>130</v>
      </c>
      <c r="P520" s="12">
        <v>200</v>
      </c>
      <c r="Q520" s="12">
        <v>24</v>
      </c>
      <c r="R520" s="13" t="s">
        <v>82</v>
      </c>
      <c r="S520" s="13" t="s">
        <v>950</v>
      </c>
      <c r="T520" s="15">
        <v>5000</v>
      </c>
      <c r="U520" s="13" t="s">
        <v>44</v>
      </c>
      <c r="V520" s="13" t="s">
        <v>59</v>
      </c>
      <c r="W520" s="12">
        <v>10</v>
      </c>
      <c r="X520" s="33" t="str">
        <f>HYPERLINK("https://www.alpinabook.ru/catalog/book-ya-tebya-proshchayu","ссылка на книгу")</f>
        <v>ссылка на книгу</v>
      </c>
      <c r="Y520" s="34" t="str">
        <f>HYPERLINK("https://api-enni.alpina.ru/FilePrivilegesApproval/339","https://api-enni.alpina.ru/FilePrivilegesApproval/339")</f>
        <v>https://api-enni.alpina.ru/FilePrivilegesApproval/339</v>
      </c>
      <c r="Z520" s="13" t="s">
        <v>954</v>
      </c>
      <c r="AT520" s="1">
        <f t="shared" si="55"/>
        <v>0</v>
      </c>
      <c r="AU520" s="1">
        <f t="shared" si="56"/>
        <v>0</v>
      </c>
      <c r="AV520" s="1">
        <f t="shared" si="57"/>
        <v>0</v>
      </c>
      <c r="AW520" s="1">
        <f t="shared" si="58"/>
        <v>0</v>
      </c>
      <c r="AX520" s="1">
        <f t="shared" si="59"/>
        <v>0</v>
      </c>
    </row>
    <row r="521" spans="1:50" s="1" customFormat="1" ht="24.95" customHeight="1" outlineLevel="3" x14ac:dyDescent="0.2">
      <c r="A521" s="11"/>
      <c r="B521" s="12">
        <v>590</v>
      </c>
      <c r="C521" s="12">
        <v>590</v>
      </c>
      <c r="D521" s="12">
        <v>26599</v>
      </c>
      <c r="E521" s="13" t="s">
        <v>1734</v>
      </c>
      <c r="F521" s="13" t="s">
        <v>1735</v>
      </c>
      <c r="G521" s="13" t="s">
        <v>56</v>
      </c>
      <c r="H521" s="13"/>
      <c r="I521" s="12">
        <v>2023</v>
      </c>
      <c r="J521" s="13" t="s">
        <v>1736</v>
      </c>
      <c r="K521" s="12">
        <v>9785961482393</v>
      </c>
      <c r="L521" s="13" t="s">
        <v>1737</v>
      </c>
      <c r="M521" s="12">
        <v>200</v>
      </c>
      <c r="N521" s="14">
        <v>0.34</v>
      </c>
      <c r="O521" s="12">
        <v>150</v>
      </c>
      <c r="P521" s="12">
        <v>220</v>
      </c>
      <c r="Q521" s="12">
        <v>16</v>
      </c>
      <c r="R521" s="13" t="s">
        <v>43</v>
      </c>
      <c r="S521" s="13"/>
      <c r="T521" s="15">
        <v>2000</v>
      </c>
      <c r="U521" s="13" t="s">
        <v>52</v>
      </c>
      <c r="V521" s="13" t="s">
        <v>45</v>
      </c>
      <c r="W521" s="12">
        <v>10</v>
      </c>
      <c r="X521" s="33" t="str">
        <f>HYPERLINK("https://www.alpinabook.ru/catalog/book-yad-materinskoy-lubvi","ссылка на книгу")</f>
        <v>ссылка на книгу</v>
      </c>
      <c r="Y521" s="34" t="str">
        <f>HYPERLINK("https://api-enni.alpina.ru/FilePrivilegesApproval/177","https://api-enni.alpina.ru/FilePrivilegesApproval/177")</f>
        <v>https://api-enni.alpina.ru/FilePrivilegesApproval/177</v>
      </c>
      <c r="Z521" s="13"/>
      <c r="AT521" s="1">
        <f t="shared" si="55"/>
        <v>0</v>
      </c>
      <c r="AU521" s="1">
        <f t="shared" si="56"/>
        <v>0</v>
      </c>
      <c r="AV521" s="1">
        <f t="shared" si="57"/>
        <v>0</v>
      </c>
      <c r="AW521" s="1">
        <f t="shared" si="58"/>
        <v>0</v>
      </c>
      <c r="AX521" s="1">
        <f t="shared" si="59"/>
        <v>0</v>
      </c>
    </row>
    <row r="522" spans="1:50" s="1" customFormat="1" ht="24.95" customHeight="1" outlineLevel="3" x14ac:dyDescent="0.2">
      <c r="A522" s="11"/>
      <c r="B522" s="12">
        <v>540</v>
      </c>
      <c r="C522" s="12">
        <v>790</v>
      </c>
      <c r="D522" s="12">
        <v>30297</v>
      </c>
      <c r="E522" s="13" t="s">
        <v>1738</v>
      </c>
      <c r="F522" s="13" t="s">
        <v>1739</v>
      </c>
      <c r="G522" s="13" t="s">
        <v>56</v>
      </c>
      <c r="H522" s="13" t="s">
        <v>40</v>
      </c>
      <c r="I522" s="12">
        <v>2025</v>
      </c>
      <c r="J522" s="13" t="s">
        <v>1740</v>
      </c>
      <c r="K522" s="12">
        <v>9785961495508</v>
      </c>
      <c r="L522" s="13" t="s">
        <v>1741</v>
      </c>
      <c r="M522" s="12">
        <v>112</v>
      </c>
      <c r="N522" s="14">
        <v>0.27</v>
      </c>
      <c r="O522" s="12">
        <v>160</v>
      </c>
      <c r="P522" s="12">
        <v>190</v>
      </c>
      <c r="Q522" s="12">
        <v>12</v>
      </c>
      <c r="R522" s="13" t="s">
        <v>100</v>
      </c>
      <c r="S522" s="13"/>
      <c r="T522" s="15">
        <v>2000</v>
      </c>
      <c r="U522" s="13" t="s">
        <v>52</v>
      </c>
      <c r="V522" s="13" t="s">
        <v>64</v>
      </c>
      <c r="W522" s="12">
        <v>10</v>
      </c>
      <c r="X522" s="33" t="str">
        <f>HYPERLINK("https://www.alpinabook.ru/catalog/book-yaponskoe-iskusstvo-garmonichnoy-zhizni","ссылка на книгу")</f>
        <v>ссылка на книгу</v>
      </c>
      <c r="Y522" s="34" t="str">
        <f>HYPERLINK("https://api-enni.alpina.ru/FilePrivilegesApproval/156","https://api-enni.alpina.ru/FilePrivilegesApproval/156")</f>
        <v>https://api-enni.alpina.ru/FilePrivilegesApproval/156</v>
      </c>
      <c r="Z522" s="13" t="s">
        <v>132</v>
      </c>
      <c r="AT522" s="1">
        <f t="shared" si="55"/>
        <v>0</v>
      </c>
      <c r="AU522" s="1">
        <f t="shared" si="56"/>
        <v>0</v>
      </c>
      <c r="AV522" s="1">
        <f t="shared" si="57"/>
        <v>0</v>
      </c>
      <c r="AW522" s="1">
        <f t="shared" si="58"/>
        <v>0</v>
      </c>
      <c r="AX522" s="1">
        <f t="shared" si="59"/>
        <v>0</v>
      </c>
    </row>
    <row r="523" spans="1:50" ht="11.1" customHeight="1" outlineLevel="2" x14ac:dyDescent="0.2">
      <c r="A523" s="40" t="s">
        <v>1742</v>
      </c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20"/>
    </row>
    <row r="524" spans="1:50" s="1" customFormat="1" ht="24.95" customHeight="1" outlineLevel="3" x14ac:dyDescent="0.2">
      <c r="A524" s="11"/>
      <c r="B524" s="12">
        <v>290</v>
      </c>
      <c r="C524" s="12">
        <v>440</v>
      </c>
      <c r="D524" s="12">
        <v>12405</v>
      </c>
      <c r="E524" s="13" t="s">
        <v>249</v>
      </c>
      <c r="F524" s="13" t="s">
        <v>250</v>
      </c>
      <c r="G524" s="13" t="s">
        <v>56</v>
      </c>
      <c r="H524" s="13" t="s">
        <v>40</v>
      </c>
      <c r="I524" s="12">
        <v>2025</v>
      </c>
      <c r="J524" s="13" t="s">
        <v>251</v>
      </c>
      <c r="K524" s="12">
        <v>9785961425185</v>
      </c>
      <c r="L524" s="13" t="s">
        <v>252</v>
      </c>
      <c r="M524" s="12">
        <v>262</v>
      </c>
      <c r="N524" s="14">
        <v>0.15</v>
      </c>
      <c r="O524" s="12">
        <v>120</v>
      </c>
      <c r="P524" s="12">
        <v>170</v>
      </c>
      <c r="Q524" s="12">
        <v>40</v>
      </c>
      <c r="R524" s="13" t="s">
        <v>75</v>
      </c>
      <c r="S524" s="13" t="s">
        <v>253</v>
      </c>
      <c r="T524" s="15">
        <v>2000</v>
      </c>
      <c r="U524" s="13" t="s">
        <v>44</v>
      </c>
      <c r="V524" s="13" t="s">
        <v>64</v>
      </c>
      <c r="W524" s="12">
        <v>10</v>
      </c>
      <c r="X524" s="33" t="str">
        <f>HYPERLINK("https://www.alpinabook.ru/catalog/book-15-sekretov-upravleniya-vremenem","ссылка на книгу")</f>
        <v>ссылка на книгу</v>
      </c>
      <c r="Y524" s="34" t="str">
        <f>HYPERLINK("https://api-enni.alpina.ru/FilePrivilegesApproval/157","https://api-enni.alpina.ru/FilePrivilegesApproval/157")</f>
        <v>https://api-enni.alpina.ru/FilePrivilegesApproval/157</v>
      </c>
      <c r="Z524" s="13" t="s">
        <v>46</v>
      </c>
      <c r="AT524" s="1">
        <f t="shared" ref="AT524:AT550" si="60">IF($A524&lt;&gt;0,1,0)</f>
        <v>0</v>
      </c>
      <c r="AU524" s="1">
        <f t="shared" ref="AU524:AU550" si="61">$A524*$B524</f>
        <v>0</v>
      </c>
      <c r="AV524" s="1">
        <f t="shared" ref="AV524:AV550" si="62">$A524*$N524</f>
        <v>0</v>
      </c>
      <c r="AW524" s="1">
        <f t="shared" ref="AW524:AW550" si="63">IF($Q524=0,0,INT($A524/$Q524))</f>
        <v>0</v>
      </c>
      <c r="AX524" s="1">
        <f t="shared" ref="AX524:AX550" si="64">$A524-$AW524*$Q524</f>
        <v>0</v>
      </c>
    </row>
    <row r="525" spans="1:50" s="1" customFormat="1" ht="24.95" customHeight="1" outlineLevel="3" x14ac:dyDescent="0.2">
      <c r="A525" s="11"/>
      <c r="B525" s="12">
        <v>290</v>
      </c>
      <c r="C525" s="12">
        <v>440</v>
      </c>
      <c r="D525" s="12">
        <v>12081</v>
      </c>
      <c r="E525" s="13" t="s">
        <v>258</v>
      </c>
      <c r="F525" s="13" t="s">
        <v>259</v>
      </c>
      <c r="G525" s="13" t="s">
        <v>56</v>
      </c>
      <c r="H525" s="13" t="s">
        <v>40</v>
      </c>
      <c r="I525" s="12">
        <v>2025</v>
      </c>
      <c r="J525" s="13" t="s">
        <v>260</v>
      </c>
      <c r="K525" s="12">
        <v>9785961421330</v>
      </c>
      <c r="L525" s="13" t="s">
        <v>261</v>
      </c>
      <c r="M525" s="12">
        <v>243</v>
      </c>
      <c r="N525" s="14">
        <v>0.17</v>
      </c>
      <c r="O525" s="12">
        <v>120</v>
      </c>
      <c r="P525" s="12">
        <v>170</v>
      </c>
      <c r="Q525" s="12">
        <v>12</v>
      </c>
      <c r="R525" s="13" t="s">
        <v>75</v>
      </c>
      <c r="S525" s="13" t="s">
        <v>253</v>
      </c>
      <c r="T525" s="15">
        <v>5000</v>
      </c>
      <c r="U525" s="13" t="s">
        <v>44</v>
      </c>
      <c r="V525" s="13" t="s">
        <v>64</v>
      </c>
      <c r="W525" s="12">
        <v>10</v>
      </c>
      <c r="X525" s="33" t="str">
        <f>HYPERLINK("https://www.alpinabook.ru/catalog/book-52-ponedelnika","ссылка на книгу")</f>
        <v>ссылка на книгу</v>
      </c>
      <c r="Y525" s="34" t="str">
        <f>HYPERLINK("https://api-enni.alpina.ru/FilePrivilegesApproval/121","https://api-enni.alpina.ru/FilePrivilegesApproval/121")</f>
        <v>https://api-enni.alpina.ru/FilePrivilegesApproval/121</v>
      </c>
      <c r="Z525" s="13" t="s">
        <v>262</v>
      </c>
      <c r="AT525" s="1">
        <f t="shared" si="60"/>
        <v>0</v>
      </c>
      <c r="AU525" s="1">
        <f t="shared" si="61"/>
        <v>0</v>
      </c>
      <c r="AV525" s="1">
        <f t="shared" si="62"/>
        <v>0</v>
      </c>
      <c r="AW525" s="1">
        <f t="shared" si="63"/>
        <v>0</v>
      </c>
      <c r="AX525" s="1">
        <f t="shared" si="64"/>
        <v>0</v>
      </c>
    </row>
    <row r="526" spans="1:50" s="1" customFormat="1" ht="24.95" customHeight="1" outlineLevel="3" x14ac:dyDescent="0.2">
      <c r="A526" s="11"/>
      <c r="B526" s="12">
        <v>290</v>
      </c>
      <c r="C526" s="12">
        <v>290</v>
      </c>
      <c r="D526" s="12">
        <v>16033</v>
      </c>
      <c r="E526" s="13" t="s">
        <v>1743</v>
      </c>
      <c r="F526" s="13" t="s">
        <v>1744</v>
      </c>
      <c r="G526" s="13" t="s">
        <v>56</v>
      </c>
      <c r="H526" s="13" t="s">
        <v>40</v>
      </c>
      <c r="I526" s="12">
        <v>2025</v>
      </c>
      <c r="J526" s="13" t="s">
        <v>1745</v>
      </c>
      <c r="K526" s="12">
        <v>9785961428889</v>
      </c>
      <c r="L526" s="13" t="s">
        <v>1746</v>
      </c>
      <c r="M526" s="12">
        <v>304</v>
      </c>
      <c r="N526" s="14">
        <v>0.19</v>
      </c>
      <c r="O526" s="12">
        <v>115</v>
      </c>
      <c r="P526" s="12">
        <v>165</v>
      </c>
      <c r="Q526" s="12">
        <v>20</v>
      </c>
      <c r="R526" s="13" t="s">
        <v>75</v>
      </c>
      <c r="S526" s="13" t="s">
        <v>253</v>
      </c>
      <c r="T526" s="15">
        <v>3000</v>
      </c>
      <c r="U526" s="13" t="s">
        <v>44</v>
      </c>
      <c r="V526" s="13" t="s">
        <v>64</v>
      </c>
      <c r="W526" s="12">
        <v>10</v>
      </c>
      <c r="X526" s="33" t="str">
        <f>HYPERLINK("https://www.alpinabook.ru/catalog/book-autentichnost","ссылка на книгу")</f>
        <v>ссылка на книгу</v>
      </c>
      <c r="Y526" s="34" t="str">
        <f>HYPERLINK("https://api-enni.alpina.ru/FilePrivilegesApproval/121","https://api-enni.alpina.ru/FilePrivilegesApproval/121")</f>
        <v>https://api-enni.alpina.ru/FilePrivilegesApproval/121</v>
      </c>
      <c r="Z526" s="13"/>
      <c r="AT526" s="1">
        <f t="shared" si="60"/>
        <v>0</v>
      </c>
      <c r="AU526" s="1">
        <f t="shared" si="61"/>
        <v>0</v>
      </c>
      <c r="AV526" s="1">
        <f t="shared" si="62"/>
        <v>0</v>
      </c>
      <c r="AW526" s="1">
        <f t="shared" si="63"/>
        <v>0</v>
      </c>
      <c r="AX526" s="1">
        <f t="shared" si="64"/>
        <v>0</v>
      </c>
    </row>
    <row r="527" spans="1:50" s="1" customFormat="1" ht="24.95" customHeight="1" outlineLevel="3" x14ac:dyDescent="0.2">
      <c r="A527" s="11"/>
      <c r="B527" s="12">
        <v>290</v>
      </c>
      <c r="C527" s="12">
        <v>440</v>
      </c>
      <c r="D527" s="12">
        <v>12728</v>
      </c>
      <c r="E527" s="13" t="s">
        <v>322</v>
      </c>
      <c r="F527" s="13" t="s">
        <v>323</v>
      </c>
      <c r="G527" s="13" t="s">
        <v>56</v>
      </c>
      <c r="H527" s="13" t="s">
        <v>40</v>
      </c>
      <c r="I527" s="12">
        <v>2024</v>
      </c>
      <c r="J527" s="13" t="s">
        <v>324</v>
      </c>
      <c r="K527" s="12">
        <v>9785961426823</v>
      </c>
      <c r="L527" s="13" t="s">
        <v>325</v>
      </c>
      <c r="M527" s="12">
        <v>288</v>
      </c>
      <c r="N527" s="14">
        <v>0.19</v>
      </c>
      <c r="O527" s="12">
        <v>115</v>
      </c>
      <c r="P527" s="12">
        <v>165</v>
      </c>
      <c r="Q527" s="12">
        <v>10</v>
      </c>
      <c r="R527" s="13" t="s">
        <v>75</v>
      </c>
      <c r="S527" s="13" t="s">
        <v>253</v>
      </c>
      <c r="T527" s="15">
        <v>15000</v>
      </c>
      <c r="U527" s="13" t="s">
        <v>44</v>
      </c>
      <c r="V527" s="13" t="s">
        <v>64</v>
      </c>
      <c r="W527" s="12">
        <v>10</v>
      </c>
      <c r="X527" s="33" t="str">
        <f>HYPERLINK("https://www.alpinabook.ru/catalog/book-boysya-no-deystvuy","ссылка на книгу")</f>
        <v>ссылка на книгу</v>
      </c>
      <c r="Y527" s="34" t="str">
        <f>HYPERLINK("https://api-enni.alpina.ru/FilePrivilegesApproval/128","https://api-enni.alpina.ru/FilePrivilegesApproval/128")</f>
        <v>https://api-enni.alpina.ru/FilePrivilegesApproval/128</v>
      </c>
      <c r="Z527" s="13"/>
      <c r="AT527" s="1">
        <f t="shared" si="60"/>
        <v>0</v>
      </c>
      <c r="AU527" s="1">
        <f t="shared" si="61"/>
        <v>0</v>
      </c>
      <c r="AV527" s="1">
        <f t="shared" si="62"/>
        <v>0</v>
      </c>
      <c r="AW527" s="1">
        <f t="shared" si="63"/>
        <v>0</v>
      </c>
      <c r="AX527" s="1">
        <f t="shared" si="64"/>
        <v>0</v>
      </c>
    </row>
    <row r="528" spans="1:50" s="1" customFormat="1" ht="24.95" customHeight="1" outlineLevel="3" x14ac:dyDescent="0.2">
      <c r="A528" s="11"/>
      <c r="B528" s="12">
        <v>290</v>
      </c>
      <c r="C528" s="12">
        <v>440</v>
      </c>
      <c r="D528" s="12">
        <v>26941</v>
      </c>
      <c r="E528" s="13" t="s">
        <v>1301</v>
      </c>
      <c r="F528" s="13" t="s">
        <v>1747</v>
      </c>
      <c r="G528" s="13" t="s">
        <v>56</v>
      </c>
      <c r="H528" s="13" t="s">
        <v>40</v>
      </c>
      <c r="I528" s="12">
        <v>2025</v>
      </c>
      <c r="J528" s="13" t="s">
        <v>1748</v>
      </c>
      <c r="K528" s="12">
        <v>9785961483413</v>
      </c>
      <c r="L528" s="13" t="s">
        <v>1749</v>
      </c>
      <c r="M528" s="12">
        <v>336</v>
      </c>
      <c r="N528" s="14">
        <v>0.26</v>
      </c>
      <c r="O528" s="12">
        <v>120</v>
      </c>
      <c r="P528" s="12">
        <v>170</v>
      </c>
      <c r="Q528" s="12">
        <v>8</v>
      </c>
      <c r="R528" s="13" t="s">
        <v>75</v>
      </c>
      <c r="S528" s="13" t="s">
        <v>253</v>
      </c>
      <c r="T528" s="15">
        <v>4000</v>
      </c>
      <c r="U528" s="13" t="s">
        <v>44</v>
      </c>
      <c r="V528" s="13" t="s">
        <v>45</v>
      </c>
      <c r="W528" s="12">
        <v>10</v>
      </c>
      <c r="X528" s="33" t="str">
        <f>HYPERLINK("https://www.alpinabook.ru/catalog/book-giperfokus","ссылка на книгу")</f>
        <v>ссылка на книгу</v>
      </c>
      <c r="Y528" s="34" t="str">
        <f>HYPERLINK("https://api-enni.alpina.ru/FilePrivilegesApproval/163","https://api-enni.alpina.ru/FilePrivilegesApproval/163")</f>
        <v>https://api-enni.alpina.ru/FilePrivilegesApproval/163</v>
      </c>
      <c r="Z528" s="13"/>
      <c r="AT528" s="1">
        <f t="shared" si="60"/>
        <v>0</v>
      </c>
      <c r="AU528" s="1">
        <f t="shared" si="61"/>
        <v>0</v>
      </c>
      <c r="AV528" s="1">
        <f t="shared" si="62"/>
        <v>0</v>
      </c>
      <c r="AW528" s="1">
        <f t="shared" si="63"/>
        <v>0</v>
      </c>
      <c r="AX528" s="1">
        <f t="shared" si="64"/>
        <v>0</v>
      </c>
    </row>
    <row r="529" spans="1:50" s="1" customFormat="1" ht="24.95" customHeight="1" outlineLevel="3" x14ac:dyDescent="0.2">
      <c r="A529" s="11"/>
      <c r="B529" s="12">
        <v>340</v>
      </c>
      <c r="C529" s="12">
        <v>340</v>
      </c>
      <c r="D529" s="12">
        <v>11078</v>
      </c>
      <c r="E529" s="13" t="s">
        <v>1073</v>
      </c>
      <c r="F529" s="13" t="s">
        <v>1750</v>
      </c>
      <c r="G529" s="13" t="s">
        <v>56</v>
      </c>
      <c r="H529" s="13" t="s">
        <v>40</v>
      </c>
      <c r="I529" s="12">
        <v>2023</v>
      </c>
      <c r="J529" s="13" t="s">
        <v>1751</v>
      </c>
      <c r="K529" s="12">
        <v>9785961411041</v>
      </c>
      <c r="L529" s="13" t="s">
        <v>1752</v>
      </c>
      <c r="M529" s="12">
        <v>576</v>
      </c>
      <c r="N529" s="14">
        <v>0.37</v>
      </c>
      <c r="O529" s="12">
        <v>120</v>
      </c>
      <c r="P529" s="12">
        <v>170</v>
      </c>
      <c r="Q529" s="12">
        <v>6</v>
      </c>
      <c r="R529" s="13" t="s">
        <v>75</v>
      </c>
      <c r="S529" s="13" t="s">
        <v>253</v>
      </c>
      <c r="T529" s="15">
        <v>4000</v>
      </c>
      <c r="U529" s="13" t="s">
        <v>44</v>
      </c>
      <c r="V529" s="13" t="s">
        <v>64</v>
      </c>
      <c r="W529" s="12">
        <v>10</v>
      </c>
      <c r="X529" s="33" t="str">
        <f>HYPERLINK("https://www.alpinabook.ru/catalog/book-glavnoe-vnimanie-glavnym-veshcham","ссылка на книгу")</f>
        <v>ссылка на книгу</v>
      </c>
      <c r="Y529" s="34" t="str">
        <f>HYPERLINK("https://api-enni.alpina.ru/FilePrivilegesApproval/152","https://api-enni.alpina.ru/FilePrivilegesApproval/152")</f>
        <v>https://api-enni.alpina.ru/FilePrivilegesApproval/152</v>
      </c>
      <c r="Z529" s="13"/>
      <c r="AT529" s="1">
        <f t="shared" si="60"/>
        <v>0</v>
      </c>
      <c r="AU529" s="1">
        <f t="shared" si="61"/>
        <v>0</v>
      </c>
      <c r="AV529" s="1">
        <f t="shared" si="62"/>
        <v>0</v>
      </c>
      <c r="AW529" s="1">
        <f t="shared" si="63"/>
        <v>0</v>
      </c>
      <c r="AX529" s="1">
        <f t="shared" si="64"/>
        <v>0</v>
      </c>
    </row>
    <row r="530" spans="1:50" s="1" customFormat="1" ht="24.95" customHeight="1" outlineLevel="3" x14ac:dyDescent="0.2">
      <c r="A530" s="11"/>
      <c r="B530" s="12">
        <v>340</v>
      </c>
      <c r="C530" s="12">
        <v>540</v>
      </c>
      <c r="D530" s="12">
        <v>16034</v>
      </c>
      <c r="E530" s="13" t="s">
        <v>1753</v>
      </c>
      <c r="F530" s="13" t="s">
        <v>1754</v>
      </c>
      <c r="G530" s="13" t="s">
        <v>86</v>
      </c>
      <c r="H530" s="13" t="s">
        <v>40</v>
      </c>
      <c r="I530" s="12">
        <v>2021</v>
      </c>
      <c r="J530" s="13" t="s">
        <v>1755</v>
      </c>
      <c r="K530" s="12">
        <v>9785001391487</v>
      </c>
      <c r="L530" s="13" t="s">
        <v>1756</v>
      </c>
      <c r="M530" s="12">
        <v>200</v>
      </c>
      <c r="N530" s="14">
        <v>0.22</v>
      </c>
      <c r="O530" s="12">
        <v>115</v>
      </c>
      <c r="P530" s="12">
        <v>165</v>
      </c>
      <c r="Q530" s="12">
        <v>28</v>
      </c>
      <c r="R530" s="13" t="s">
        <v>75</v>
      </c>
      <c r="S530" s="13" t="s">
        <v>253</v>
      </c>
      <c r="T530" s="15">
        <v>3000</v>
      </c>
      <c r="U530" s="13" t="s">
        <v>44</v>
      </c>
      <c r="V530" s="13" t="s">
        <v>59</v>
      </c>
      <c r="W530" s="12">
        <v>10</v>
      </c>
      <c r="X530" s="33" t="str">
        <f>HYPERLINK("https://www.alpinabook.ru/catalog/book-dary-nesovershenstva-polybit","ссылка на книгу")</f>
        <v>ссылка на книгу</v>
      </c>
      <c r="Y530" s="34" t="str">
        <f>HYPERLINK("https://api-enni.alpina.ru/FilePrivilegesApproval/147","https://api-enni.alpina.ru/FilePrivilegesApproval/147")</f>
        <v>https://api-enni.alpina.ru/FilePrivilegesApproval/147</v>
      </c>
      <c r="Z530" s="13" t="s">
        <v>1704</v>
      </c>
      <c r="AT530" s="1">
        <f t="shared" si="60"/>
        <v>0</v>
      </c>
      <c r="AU530" s="1">
        <f t="shared" si="61"/>
        <v>0</v>
      </c>
      <c r="AV530" s="1">
        <f t="shared" si="62"/>
        <v>0</v>
      </c>
      <c r="AW530" s="1">
        <f t="shared" si="63"/>
        <v>0</v>
      </c>
      <c r="AX530" s="1">
        <f t="shared" si="64"/>
        <v>0</v>
      </c>
    </row>
    <row r="531" spans="1:50" s="1" customFormat="1" ht="24.95" customHeight="1" outlineLevel="3" x14ac:dyDescent="0.2">
      <c r="A531" s="11"/>
      <c r="B531" s="12">
        <v>290</v>
      </c>
      <c r="C531" s="12">
        <v>440</v>
      </c>
      <c r="D531" s="12">
        <v>11085</v>
      </c>
      <c r="E531" s="13" t="s">
        <v>1757</v>
      </c>
      <c r="F531" s="13" t="s">
        <v>1758</v>
      </c>
      <c r="G531" s="13" t="s">
        <v>56</v>
      </c>
      <c r="H531" s="13" t="s">
        <v>40</v>
      </c>
      <c r="I531" s="12">
        <v>2025</v>
      </c>
      <c r="J531" s="13" t="s">
        <v>1759</v>
      </c>
      <c r="K531" s="12">
        <v>9785961411829</v>
      </c>
      <c r="L531" s="13" t="s">
        <v>1760</v>
      </c>
      <c r="M531" s="12">
        <v>224</v>
      </c>
      <c r="N531" s="14">
        <v>0.15</v>
      </c>
      <c r="O531" s="12">
        <v>115</v>
      </c>
      <c r="P531" s="12">
        <v>165</v>
      </c>
      <c r="Q531" s="12">
        <v>24</v>
      </c>
      <c r="R531" s="13" t="s">
        <v>75</v>
      </c>
      <c r="S531" s="13" t="s">
        <v>253</v>
      </c>
      <c r="T531" s="15">
        <v>2000</v>
      </c>
      <c r="U531" s="13" t="s">
        <v>44</v>
      </c>
      <c r="V531" s="13" t="s">
        <v>45</v>
      </c>
      <c r="W531" s="12">
        <v>10</v>
      </c>
      <c r="X531" s="33" t="str">
        <f>HYPERLINK("https://www.alpinabook.ru/catalog/book-esh-dvigaysya-spi","ссылка на книгу")</f>
        <v>ссылка на книгу</v>
      </c>
      <c r="Y531" s="34" t="str">
        <f>HYPERLINK("https://api-enni.alpina.ru/FilePrivilegesApproval/156","https://api-enni.alpina.ru/FilePrivilegesApproval/156")</f>
        <v>https://api-enni.alpina.ru/FilePrivilegesApproval/156</v>
      </c>
      <c r="Z531" s="13"/>
      <c r="AT531" s="1">
        <f t="shared" si="60"/>
        <v>0</v>
      </c>
      <c r="AU531" s="1">
        <f t="shared" si="61"/>
        <v>0</v>
      </c>
      <c r="AV531" s="1">
        <f t="shared" si="62"/>
        <v>0</v>
      </c>
      <c r="AW531" s="1">
        <f t="shared" si="63"/>
        <v>0</v>
      </c>
      <c r="AX531" s="1">
        <f t="shared" si="64"/>
        <v>0</v>
      </c>
    </row>
    <row r="532" spans="1:50" s="1" customFormat="1" ht="24.95" customHeight="1" outlineLevel="3" x14ac:dyDescent="0.2">
      <c r="A532" s="11"/>
      <c r="B532" s="12">
        <v>290</v>
      </c>
      <c r="C532" s="12">
        <v>440</v>
      </c>
      <c r="D532" s="12">
        <v>16032</v>
      </c>
      <c r="E532" s="13" t="s">
        <v>1761</v>
      </c>
      <c r="F532" s="13" t="s">
        <v>1762</v>
      </c>
      <c r="G532" s="13" t="s">
        <v>56</v>
      </c>
      <c r="H532" s="13" t="s">
        <v>40</v>
      </c>
      <c r="I532" s="12">
        <v>2023</v>
      </c>
      <c r="J532" s="13" t="s">
        <v>1763</v>
      </c>
      <c r="K532" s="12">
        <v>9785961428865</v>
      </c>
      <c r="L532" s="13" t="s">
        <v>1764</v>
      </c>
      <c r="M532" s="12">
        <v>176</v>
      </c>
      <c r="N532" s="14">
        <v>0.12</v>
      </c>
      <c r="O532" s="12">
        <v>115</v>
      </c>
      <c r="P532" s="12">
        <v>165</v>
      </c>
      <c r="Q532" s="12">
        <v>15</v>
      </c>
      <c r="R532" s="13" t="s">
        <v>75</v>
      </c>
      <c r="S532" s="13" t="s">
        <v>253</v>
      </c>
      <c r="T532" s="15">
        <v>2000</v>
      </c>
      <c r="U532" s="13" t="s">
        <v>44</v>
      </c>
      <c r="V532" s="13" t="s">
        <v>64</v>
      </c>
      <c r="W532" s="12">
        <v>10</v>
      </c>
      <c r="X532" s="33" t="str">
        <f>HYPERLINK("https://www.alpinabook.ru/catalog/book-zheleznaya-khvatka","ссылка на книгу")</f>
        <v>ссылка на книгу</v>
      </c>
      <c r="Y532" s="34" t="str">
        <f>HYPERLINK("https://api-enni.alpina.ru/FilePrivilegesApproval/22","https://api-enni.alpina.ru/FilePrivilegesApproval/22")</f>
        <v>https://api-enni.alpina.ru/FilePrivilegesApproval/22</v>
      </c>
      <c r="Z532" s="13"/>
      <c r="AT532" s="1">
        <f t="shared" si="60"/>
        <v>0</v>
      </c>
      <c r="AU532" s="1">
        <f t="shared" si="61"/>
        <v>0</v>
      </c>
      <c r="AV532" s="1">
        <f t="shared" si="62"/>
        <v>0</v>
      </c>
      <c r="AW532" s="1">
        <f t="shared" si="63"/>
        <v>0</v>
      </c>
      <c r="AX532" s="1">
        <f t="shared" si="64"/>
        <v>0</v>
      </c>
    </row>
    <row r="533" spans="1:50" s="1" customFormat="1" ht="24.95" customHeight="1" outlineLevel="3" x14ac:dyDescent="0.2">
      <c r="A533" s="26"/>
      <c r="B533" s="27">
        <v>340</v>
      </c>
      <c r="C533" s="27">
        <v>540</v>
      </c>
      <c r="D533" s="27">
        <v>12494</v>
      </c>
      <c r="E533" s="29" t="s">
        <v>1765</v>
      </c>
      <c r="F533" s="29" t="s">
        <v>1766</v>
      </c>
      <c r="G533" s="29" t="s">
        <v>56</v>
      </c>
      <c r="H533" s="29" t="s">
        <v>40</v>
      </c>
      <c r="I533" s="27">
        <v>2023</v>
      </c>
      <c r="J533" s="29" t="s">
        <v>1767</v>
      </c>
      <c r="K533" s="27">
        <v>9785961425802</v>
      </c>
      <c r="L533" s="29" t="s">
        <v>1768</v>
      </c>
      <c r="M533" s="27">
        <v>412</v>
      </c>
      <c r="N533" s="30">
        <v>0.27</v>
      </c>
      <c r="O533" s="27">
        <v>115</v>
      </c>
      <c r="P533" s="27">
        <v>165</v>
      </c>
      <c r="Q533" s="27">
        <v>12</v>
      </c>
      <c r="R533" s="29" t="s">
        <v>75</v>
      </c>
      <c r="S533" s="29" t="s">
        <v>253</v>
      </c>
      <c r="T533" s="28">
        <v>3000</v>
      </c>
      <c r="U533" s="29" t="s">
        <v>44</v>
      </c>
      <c r="V533" s="29" t="s">
        <v>64</v>
      </c>
      <c r="W533" s="27">
        <v>10</v>
      </c>
      <c r="X533" s="37" t="str">
        <f>HYPERLINK("https://www.alpinabook.ru/catalog/book-zapomnit-vse","ссылка на книгу")</f>
        <v>ссылка на книгу</v>
      </c>
      <c r="Y533" s="38" t="str">
        <f>HYPERLINK("https://api-enni.alpina.ru/FilePrivilegesApproval/158","https://api-enni.alpina.ru/FilePrivilegesApproval/158")</f>
        <v>https://api-enni.alpina.ru/FilePrivilegesApproval/158</v>
      </c>
      <c r="Z533" s="29"/>
      <c r="AT533" s="1">
        <f t="shared" si="60"/>
        <v>0</v>
      </c>
      <c r="AU533" s="1">
        <f t="shared" si="61"/>
        <v>0</v>
      </c>
      <c r="AV533" s="1">
        <f t="shared" si="62"/>
        <v>0</v>
      </c>
      <c r="AW533" s="1">
        <f t="shared" si="63"/>
        <v>0</v>
      </c>
      <c r="AX533" s="1">
        <f t="shared" si="64"/>
        <v>0</v>
      </c>
    </row>
    <row r="534" spans="1:50" s="1" customFormat="1" ht="24.95" customHeight="1" outlineLevel="3" x14ac:dyDescent="0.2">
      <c r="A534" s="26"/>
      <c r="B534" s="27">
        <v>290</v>
      </c>
      <c r="C534" s="27">
        <v>440</v>
      </c>
      <c r="D534" s="27">
        <v>30640</v>
      </c>
      <c r="E534" s="29" t="s">
        <v>1769</v>
      </c>
      <c r="F534" s="29" t="s">
        <v>1770</v>
      </c>
      <c r="G534" s="29" t="s">
        <v>56</v>
      </c>
      <c r="H534" s="29" t="s">
        <v>434</v>
      </c>
      <c r="I534" s="27">
        <v>2024</v>
      </c>
      <c r="J534" s="29" t="s">
        <v>1771</v>
      </c>
      <c r="K534" s="27">
        <v>9785961496093</v>
      </c>
      <c r="L534" s="29" t="s">
        <v>1772</v>
      </c>
      <c r="M534" s="27">
        <v>288</v>
      </c>
      <c r="N534" s="30">
        <v>0.19</v>
      </c>
      <c r="O534" s="27">
        <v>120</v>
      </c>
      <c r="P534" s="27">
        <v>170</v>
      </c>
      <c r="Q534" s="27">
        <v>20</v>
      </c>
      <c r="R534" s="29" t="s">
        <v>75</v>
      </c>
      <c r="S534" s="29" t="s">
        <v>253</v>
      </c>
      <c r="T534" s="28">
        <v>2000</v>
      </c>
      <c r="U534" s="29" t="s">
        <v>44</v>
      </c>
      <c r="V534" s="29" t="s">
        <v>64</v>
      </c>
      <c r="W534" s="27">
        <v>10</v>
      </c>
      <c r="X534" s="37" t="str">
        <f>HYPERLINK("https://www.alpinabook.ru/catalog/book-iskusstvo-zhit-prosto","ссылка на книгу")</f>
        <v>ссылка на книгу</v>
      </c>
      <c r="Y534" s="38" t="str">
        <f>HYPERLINK("https://api-enni.alpina.ru/FilePrivilegesApproval/125","https://api-enni.alpina.ru/FilePrivilegesApproval/125")</f>
        <v>https://api-enni.alpina.ru/FilePrivilegesApproval/125</v>
      </c>
      <c r="Z534" s="29"/>
      <c r="AT534" s="1">
        <f t="shared" si="60"/>
        <v>0</v>
      </c>
      <c r="AU534" s="1">
        <f t="shared" si="61"/>
        <v>0</v>
      </c>
      <c r="AV534" s="1">
        <f t="shared" si="62"/>
        <v>0</v>
      </c>
      <c r="AW534" s="1">
        <f t="shared" si="63"/>
        <v>0</v>
      </c>
      <c r="AX534" s="1">
        <f t="shared" si="64"/>
        <v>0</v>
      </c>
    </row>
    <row r="535" spans="1:50" s="1" customFormat="1" ht="24.95" customHeight="1" outlineLevel="3" x14ac:dyDescent="0.2">
      <c r="A535" s="11"/>
      <c r="B535" s="12">
        <v>340</v>
      </c>
      <c r="C535" s="12">
        <v>540</v>
      </c>
      <c r="D535" s="12">
        <v>11080</v>
      </c>
      <c r="E535" s="13" t="s">
        <v>461</v>
      </c>
      <c r="F535" s="13" t="s">
        <v>462</v>
      </c>
      <c r="G535" s="13" t="s">
        <v>56</v>
      </c>
      <c r="H535" s="13" t="s">
        <v>40</v>
      </c>
      <c r="I535" s="12">
        <v>2025</v>
      </c>
      <c r="J535" s="13" t="s">
        <v>463</v>
      </c>
      <c r="K535" s="12">
        <v>9785961411751</v>
      </c>
      <c r="L535" s="13" t="s">
        <v>464</v>
      </c>
      <c r="M535" s="12">
        <v>400</v>
      </c>
      <c r="N535" s="14">
        <v>0.26</v>
      </c>
      <c r="O535" s="12">
        <v>120</v>
      </c>
      <c r="P535" s="12">
        <v>170</v>
      </c>
      <c r="Q535" s="12">
        <v>28</v>
      </c>
      <c r="R535" s="13" t="s">
        <v>75</v>
      </c>
      <c r="S535" s="13" t="s">
        <v>253</v>
      </c>
      <c r="T535" s="15">
        <v>3000</v>
      </c>
      <c r="U535" s="13" t="s">
        <v>44</v>
      </c>
      <c r="V535" s="13" t="s">
        <v>64</v>
      </c>
      <c r="W535" s="12">
        <v>10</v>
      </c>
      <c r="X535" s="33" t="str">
        <f>HYPERLINK("https://www.alpinabook.ru/catalog/book-iskusstvo-sistemnogo-myshleniya","ссылка на книгу")</f>
        <v>ссылка на книгу</v>
      </c>
      <c r="Y535" s="34" t="str">
        <f>HYPERLINK("https://api-enni.alpina.ru/FilePrivilegesApproval/152","https://api-enni.alpina.ru/FilePrivilegesApproval/152")</f>
        <v>https://api-enni.alpina.ru/FilePrivilegesApproval/152</v>
      </c>
      <c r="Z535" s="13" t="s">
        <v>308</v>
      </c>
      <c r="AT535" s="1">
        <f t="shared" si="60"/>
        <v>0</v>
      </c>
      <c r="AU535" s="1">
        <f t="shared" si="61"/>
        <v>0</v>
      </c>
      <c r="AV535" s="1">
        <f t="shared" si="62"/>
        <v>0</v>
      </c>
      <c r="AW535" s="1">
        <f t="shared" si="63"/>
        <v>0</v>
      </c>
      <c r="AX535" s="1">
        <f t="shared" si="64"/>
        <v>0</v>
      </c>
    </row>
    <row r="536" spans="1:50" s="1" customFormat="1" ht="24.95" customHeight="1" outlineLevel="3" x14ac:dyDescent="0.2">
      <c r="A536" s="11"/>
      <c r="B536" s="12">
        <v>290</v>
      </c>
      <c r="C536" s="12">
        <v>440</v>
      </c>
      <c r="D536" s="12">
        <v>11082</v>
      </c>
      <c r="E536" s="13" t="s">
        <v>472</v>
      </c>
      <c r="F536" s="13" t="s">
        <v>473</v>
      </c>
      <c r="G536" s="13" t="s">
        <v>56</v>
      </c>
      <c r="H536" s="13" t="s">
        <v>40</v>
      </c>
      <c r="I536" s="12">
        <v>2025</v>
      </c>
      <c r="J536" s="13" t="s">
        <v>474</v>
      </c>
      <c r="K536" s="12">
        <v>9785961411799</v>
      </c>
      <c r="L536" s="13" t="s">
        <v>475</v>
      </c>
      <c r="M536" s="12">
        <v>224</v>
      </c>
      <c r="N536" s="14">
        <v>0.15</v>
      </c>
      <c r="O536" s="12">
        <v>115</v>
      </c>
      <c r="P536" s="12">
        <v>165</v>
      </c>
      <c r="Q536" s="12">
        <v>14</v>
      </c>
      <c r="R536" s="13" t="s">
        <v>75</v>
      </c>
      <c r="S536" s="13" t="s">
        <v>253</v>
      </c>
      <c r="T536" s="15">
        <v>30000</v>
      </c>
      <c r="U536" s="13" t="s">
        <v>44</v>
      </c>
      <c r="V536" s="13" t="s">
        <v>64</v>
      </c>
      <c r="W536" s="12">
        <v>10</v>
      </c>
      <c r="X536" s="33" t="str">
        <f>HYPERLINK("https://www.alpinabook.ru/catalog/book-kak-razgovarivat-s-kem-ugodno-kogda-ugodno-i-gde-ugodno","ссылка на книгу")</f>
        <v>ссылка на книгу</v>
      </c>
      <c r="Y536" s="34" t="str">
        <f>HYPERLINK("https://api-enni.alpina.ru/FilePrivilegesApproval/152","https://api-enni.alpina.ru/FilePrivilegesApproval/152")</f>
        <v>https://api-enni.alpina.ru/FilePrivilegesApproval/152</v>
      </c>
      <c r="Z536" s="13" t="s">
        <v>405</v>
      </c>
      <c r="AT536" s="1">
        <f t="shared" si="60"/>
        <v>0</v>
      </c>
      <c r="AU536" s="1">
        <f t="shared" si="61"/>
        <v>0</v>
      </c>
      <c r="AV536" s="1">
        <f t="shared" si="62"/>
        <v>0</v>
      </c>
      <c r="AW536" s="1">
        <f t="shared" si="63"/>
        <v>0</v>
      </c>
      <c r="AX536" s="1">
        <f t="shared" si="64"/>
        <v>0</v>
      </c>
    </row>
    <row r="537" spans="1:50" s="1" customFormat="1" ht="24.95" customHeight="1" outlineLevel="3" x14ac:dyDescent="0.2">
      <c r="A537" s="11"/>
      <c r="B537" s="12">
        <v>340</v>
      </c>
      <c r="C537" s="12">
        <v>540</v>
      </c>
      <c r="D537" s="12">
        <v>12407</v>
      </c>
      <c r="E537" s="13" t="s">
        <v>514</v>
      </c>
      <c r="F537" s="13" t="s">
        <v>515</v>
      </c>
      <c r="G537" s="13" t="s">
        <v>56</v>
      </c>
      <c r="H537" s="13" t="s">
        <v>40</v>
      </c>
      <c r="I537" s="12">
        <v>2025</v>
      </c>
      <c r="J537" s="13" t="s">
        <v>516</v>
      </c>
      <c r="K537" s="12">
        <v>9785961425222</v>
      </c>
      <c r="L537" s="13" t="s">
        <v>517</v>
      </c>
      <c r="M537" s="12">
        <v>324</v>
      </c>
      <c r="N537" s="14">
        <v>0.22</v>
      </c>
      <c r="O537" s="12">
        <v>115</v>
      </c>
      <c r="P537" s="12">
        <v>165</v>
      </c>
      <c r="Q537" s="12">
        <v>10</v>
      </c>
      <c r="R537" s="13" t="s">
        <v>75</v>
      </c>
      <c r="S537" s="13" t="s">
        <v>253</v>
      </c>
      <c r="T537" s="15">
        <v>5000</v>
      </c>
      <c r="U537" s="13" t="s">
        <v>44</v>
      </c>
      <c r="V537" s="13" t="s">
        <v>64</v>
      </c>
      <c r="W537" s="12">
        <v>10</v>
      </c>
      <c r="X537" s="33" t="str">
        <f>HYPERLINK("https://www.alpinabook.ru/catalog/book-luchshaya-versiya-sebya","ссылка на книгу")</f>
        <v>ссылка на книгу</v>
      </c>
      <c r="Y537" s="34" t="str">
        <f>HYPERLINK("https://api-enni.alpina.ru/FilePrivilegesApproval/125","https://api-enni.alpina.ru/FilePrivilegesApproval/125")</f>
        <v>https://api-enni.alpina.ru/FilePrivilegesApproval/125</v>
      </c>
      <c r="Z537" s="13" t="s">
        <v>392</v>
      </c>
      <c r="AT537" s="1">
        <f t="shared" si="60"/>
        <v>0</v>
      </c>
      <c r="AU537" s="1">
        <f t="shared" si="61"/>
        <v>0</v>
      </c>
      <c r="AV537" s="1">
        <f t="shared" si="62"/>
        <v>0</v>
      </c>
      <c r="AW537" s="1">
        <f t="shared" si="63"/>
        <v>0</v>
      </c>
      <c r="AX537" s="1">
        <f t="shared" si="64"/>
        <v>0</v>
      </c>
    </row>
    <row r="538" spans="1:50" s="1" customFormat="1" ht="24.95" customHeight="1" outlineLevel="3" x14ac:dyDescent="0.2">
      <c r="A538" s="11"/>
      <c r="B538" s="12">
        <v>340</v>
      </c>
      <c r="C538" s="12">
        <v>540</v>
      </c>
      <c r="D538" s="12">
        <v>27988</v>
      </c>
      <c r="E538" s="13" t="s">
        <v>1773</v>
      </c>
      <c r="F538" s="13" t="s">
        <v>1774</v>
      </c>
      <c r="G538" s="13" t="s">
        <v>56</v>
      </c>
      <c r="H538" s="13" t="s">
        <v>40</v>
      </c>
      <c r="I538" s="12">
        <v>2023</v>
      </c>
      <c r="J538" s="13" t="s">
        <v>1775</v>
      </c>
      <c r="K538" s="12">
        <v>9785961486995</v>
      </c>
      <c r="L538" s="13" t="s">
        <v>1776</v>
      </c>
      <c r="M538" s="12">
        <v>448</v>
      </c>
      <c r="N538" s="14">
        <v>0.3</v>
      </c>
      <c r="O538" s="12">
        <v>120</v>
      </c>
      <c r="P538" s="12">
        <v>170</v>
      </c>
      <c r="Q538" s="12">
        <v>6</v>
      </c>
      <c r="R538" s="13" t="s">
        <v>75</v>
      </c>
      <c r="S538" s="13" t="s">
        <v>253</v>
      </c>
      <c r="T538" s="15">
        <v>2000</v>
      </c>
      <c r="U538" s="13" t="s">
        <v>44</v>
      </c>
      <c r="V538" s="13" t="s">
        <v>64</v>
      </c>
      <c r="W538" s="12">
        <v>10</v>
      </c>
      <c r="X538" s="33" t="str">
        <f>HYPERLINK("https://www.alpinabook.ru/catalog/book-matematika-zhizni","ссылка на книгу")</f>
        <v>ссылка на книгу</v>
      </c>
      <c r="Y538" s="34" t="str">
        <f>HYPERLINK("https://api-enni.alpina.ru/FilePrivilegesApproval/228","https://api-enni.alpina.ru/FilePrivilegesApproval/228")</f>
        <v>https://api-enni.alpina.ru/FilePrivilegesApproval/228</v>
      </c>
      <c r="Z538" s="13"/>
      <c r="AT538" s="1">
        <f t="shared" si="60"/>
        <v>0</v>
      </c>
      <c r="AU538" s="1">
        <f t="shared" si="61"/>
        <v>0</v>
      </c>
      <c r="AV538" s="1">
        <f t="shared" si="62"/>
        <v>0</v>
      </c>
      <c r="AW538" s="1">
        <f t="shared" si="63"/>
        <v>0</v>
      </c>
      <c r="AX538" s="1">
        <f t="shared" si="64"/>
        <v>0</v>
      </c>
    </row>
    <row r="539" spans="1:50" s="1" customFormat="1" ht="24.95" customHeight="1" outlineLevel="3" x14ac:dyDescent="0.2">
      <c r="A539" s="26"/>
      <c r="B539" s="27">
        <v>340</v>
      </c>
      <c r="C539" s="27">
        <v>540</v>
      </c>
      <c r="D539" s="27">
        <v>12082</v>
      </c>
      <c r="E539" s="29" t="s">
        <v>1777</v>
      </c>
      <c r="F539" s="29" t="s">
        <v>1778</v>
      </c>
      <c r="G539" s="29" t="s">
        <v>56</v>
      </c>
      <c r="H539" s="29" t="s">
        <v>40</v>
      </c>
      <c r="I539" s="27">
        <v>2024</v>
      </c>
      <c r="J539" s="29" t="s">
        <v>1779</v>
      </c>
      <c r="K539" s="27">
        <v>9785961422641</v>
      </c>
      <c r="L539" s="29" t="s">
        <v>1780</v>
      </c>
      <c r="M539" s="27">
        <v>296</v>
      </c>
      <c r="N539" s="30">
        <v>0.2</v>
      </c>
      <c r="O539" s="27">
        <v>120</v>
      </c>
      <c r="P539" s="27">
        <v>170</v>
      </c>
      <c r="Q539" s="27">
        <v>20</v>
      </c>
      <c r="R539" s="29" t="s">
        <v>75</v>
      </c>
      <c r="S539" s="29" t="s">
        <v>253</v>
      </c>
      <c r="T539" s="28">
        <v>2000</v>
      </c>
      <c r="U539" s="29" t="s">
        <v>44</v>
      </c>
      <c r="V539" s="29" t="s">
        <v>64</v>
      </c>
      <c r="W539" s="27">
        <v>10</v>
      </c>
      <c r="X539" s="37" t="str">
        <f>HYPERLINK("https://www.alpinabook.ru/catalog/book-menshe-no-luchshe","ссылка на книгу")</f>
        <v>ссылка на книгу</v>
      </c>
      <c r="Y539" s="38" t="str">
        <f>HYPERLINK("https://api-enni.alpina.ru/FilePrivilegesApproval/152","https://api-enni.alpina.ru/FilePrivilegesApproval/152")</f>
        <v>https://api-enni.alpina.ru/FilePrivilegesApproval/152</v>
      </c>
      <c r="Z539" s="29"/>
      <c r="AT539" s="1">
        <f t="shared" si="60"/>
        <v>0</v>
      </c>
      <c r="AU539" s="1">
        <f t="shared" si="61"/>
        <v>0</v>
      </c>
      <c r="AV539" s="1">
        <f t="shared" si="62"/>
        <v>0</v>
      </c>
      <c r="AW539" s="1">
        <f t="shared" si="63"/>
        <v>0</v>
      </c>
      <c r="AX539" s="1">
        <f t="shared" si="64"/>
        <v>0</v>
      </c>
    </row>
    <row r="540" spans="1:50" s="1" customFormat="1" ht="24.95" customHeight="1" outlineLevel="3" x14ac:dyDescent="0.2">
      <c r="A540" s="11"/>
      <c r="B540" s="12">
        <v>290</v>
      </c>
      <c r="C540" s="12">
        <v>440</v>
      </c>
      <c r="D540" s="12">
        <v>12095</v>
      </c>
      <c r="E540" s="13" t="s">
        <v>1781</v>
      </c>
      <c r="F540" s="13" t="s">
        <v>1782</v>
      </c>
      <c r="G540" s="13" t="s">
        <v>56</v>
      </c>
      <c r="H540" s="13" t="s">
        <v>40</v>
      </c>
      <c r="I540" s="12">
        <v>2025</v>
      </c>
      <c r="J540" s="13" t="s">
        <v>1783</v>
      </c>
      <c r="K540" s="12">
        <v>9785961424942</v>
      </c>
      <c r="L540" s="13" t="s">
        <v>1784</v>
      </c>
      <c r="M540" s="12">
        <v>192</v>
      </c>
      <c r="N540" s="14">
        <v>0.13</v>
      </c>
      <c r="O540" s="12">
        <v>115</v>
      </c>
      <c r="P540" s="12">
        <v>165</v>
      </c>
      <c r="Q540" s="12">
        <v>14</v>
      </c>
      <c r="R540" s="13" t="s">
        <v>75</v>
      </c>
      <c r="S540" s="13" t="s">
        <v>253</v>
      </c>
      <c r="T540" s="15">
        <v>4000</v>
      </c>
      <c r="U540" s="13" t="s">
        <v>44</v>
      </c>
      <c r="V540" s="13" t="s">
        <v>64</v>
      </c>
      <c r="W540" s="12">
        <v>10</v>
      </c>
      <c r="X540" s="33" t="str">
        <f>HYPERLINK("https://www.alpinabook.ru/catalog/book-metod-kaydzen","ссылка на книгу")</f>
        <v>ссылка на книгу</v>
      </c>
      <c r="Y540" s="34" t="str">
        <f>HYPERLINK("https://api-enni.alpina.ru/FilePrivilegesApproval/152","https://api-enni.alpina.ru/FilePrivilegesApproval/152")</f>
        <v>https://api-enni.alpina.ru/FilePrivilegesApproval/152</v>
      </c>
      <c r="Z540" s="13" t="s">
        <v>392</v>
      </c>
      <c r="AT540" s="1">
        <f t="shared" si="60"/>
        <v>0</v>
      </c>
      <c r="AU540" s="1">
        <f t="shared" si="61"/>
        <v>0</v>
      </c>
      <c r="AV540" s="1">
        <f t="shared" si="62"/>
        <v>0</v>
      </c>
      <c r="AW540" s="1">
        <f t="shared" si="63"/>
        <v>0</v>
      </c>
      <c r="AX540" s="1">
        <f t="shared" si="64"/>
        <v>0</v>
      </c>
    </row>
    <row r="541" spans="1:50" s="1" customFormat="1" ht="24.95" customHeight="1" outlineLevel="3" x14ac:dyDescent="0.2">
      <c r="A541" s="11"/>
      <c r="B541" s="12">
        <v>290</v>
      </c>
      <c r="C541" s="12">
        <v>440</v>
      </c>
      <c r="D541" s="12">
        <v>12124</v>
      </c>
      <c r="E541" s="13" t="s">
        <v>1785</v>
      </c>
      <c r="F541" s="13" t="s">
        <v>1786</v>
      </c>
      <c r="G541" s="13" t="s">
        <v>56</v>
      </c>
      <c r="H541" s="13" t="s">
        <v>40</v>
      </c>
      <c r="I541" s="12">
        <v>2024</v>
      </c>
      <c r="J541" s="13" t="s">
        <v>1787</v>
      </c>
      <c r="K541" s="12">
        <v>9785961424065</v>
      </c>
      <c r="L541" s="13" t="s">
        <v>1788</v>
      </c>
      <c r="M541" s="12">
        <v>176</v>
      </c>
      <c r="N541" s="14">
        <v>0.1</v>
      </c>
      <c r="O541" s="12">
        <v>120</v>
      </c>
      <c r="P541" s="12">
        <v>170</v>
      </c>
      <c r="Q541" s="12">
        <v>28</v>
      </c>
      <c r="R541" s="13" t="s">
        <v>75</v>
      </c>
      <c r="S541" s="13" t="s">
        <v>253</v>
      </c>
      <c r="T541" s="15">
        <v>2000</v>
      </c>
      <c r="U541" s="13" t="s">
        <v>44</v>
      </c>
      <c r="V541" s="13" t="s">
        <v>64</v>
      </c>
      <c r="W541" s="12">
        <v>10</v>
      </c>
      <c r="X541" s="33" t="str">
        <f>HYPERLINK("https://www.alpinabook.ru/catalog/book-mini-privychki-maksi-rezultaty","ссылка на книгу")</f>
        <v>ссылка на книгу</v>
      </c>
      <c r="Y541" s="34" t="str">
        <f>HYPERLINK("https://api-enni.alpina.ru/FilePrivilegesApproval/125","https://api-enni.alpina.ru/FilePrivilegesApproval/125")</f>
        <v>https://api-enni.alpina.ru/FilePrivilegesApproval/125</v>
      </c>
      <c r="Z541" s="13"/>
      <c r="AT541" s="1">
        <f t="shared" si="60"/>
        <v>0</v>
      </c>
      <c r="AU541" s="1">
        <f t="shared" si="61"/>
        <v>0</v>
      </c>
      <c r="AV541" s="1">
        <f t="shared" si="62"/>
        <v>0</v>
      </c>
      <c r="AW541" s="1">
        <f t="shared" si="63"/>
        <v>0</v>
      </c>
      <c r="AX541" s="1">
        <f t="shared" si="64"/>
        <v>0</v>
      </c>
    </row>
    <row r="542" spans="1:50" s="1" customFormat="1" ht="24.95" customHeight="1" outlineLevel="3" x14ac:dyDescent="0.2">
      <c r="A542" s="11"/>
      <c r="B542" s="12">
        <v>290</v>
      </c>
      <c r="C542" s="12">
        <v>440</v>
      </c>
      <c r="D542" s="12">
        <v>26987</v>
      </c>
      <c r="E542" s="13" t="s">
        <v>1073</v>
      </c>
      <c r="F542" s="13" t="s">
        <v>1789</v>
      </c>
      <c r="G542" s="13" t="s">
        <v>56</v>
      </c>
      <c r="H542" s="13" t="s">
        <v>40</v>
      </c>
      <c r="I542" s="12">
        <v>2023</v>
      </c>
      <c r="J542" s="13" t="s">
        <v>1790</v>
      </c>
      <c r="K542" s="12">
        <v>9785961483611</v>
      </c>
      <c r="L542" s="13" t="s">
        <v>1791</v>
      </c>
      <c r="M542" s="12">
        <v>176</v>
      </c>
      <c r="N542" s="14">
        <v>0.14000000000000001</v>
      </c>
      <c r="O542" s="12">
        <v>115</v>
      </c>
      <c r="P542" s="12">
        <v>165</v>
      </c>
      <c r="Q542" s="12">
        <v>24</v>
      </c>
      <c r="R542" s="13" t="s">
        <v>75</v>
      </c>
      <c r="S542" s="13" t="s">
        <v>253</v>
      </c>
      <c r="T542" s="15">
        <v>2000</v>
      </c>
      <c r="U542" s="13" t="s">
        <v>44</v>
      </c>
      <c r="V542" s="13" t="s">
        <v>64</v>
      </c>
      <c r="W542" s="12">
        <v>10</v>
      </c>
      <c r="X542" s="33" t="str">
        <f>HYPERLINK("https://www.alpinabook.ru/catalog/book-samoe-vazhnoe","ссылка на книгу")</f>
        <v>ссылка на книгу</v>
      </c>
      <c r="Y542" s="34" t="str">
        <f>HYPERLINK("https://api-enni.alpina.ru/FilePrivilegesApproval/172","https://api-enni.alpina.ru/FilePrivilegesApproval/172")</f>
        <v>https://api-enni.alpina.ru/FilePrivilegesApproval/172</v>
      </c>
      <c r="Z542" s="13"/>
      <c r="AT542" s="1">
        <f t="shared" si="60"/>
        <v>0</v>
      </c>
      <c r="AU542" s="1">
        <f t="shared" si="61"/>
        <v>0</v>
      </c>
      <c r="AV542" s="1">
        <f t="shared" si="62"/>
        <v>0</v>
      </c>
      <c r="AW542" s="1">
        <f t="shared" si="63"/>
        <v>0</v>
      </c>
      <c r="AX542" s="1">
        <f t="shared" si="64"/>
        <v>0</v>
      </c>
    </row>
    <row r="543" spans="1:50" s="1" customFormat="1" ht="24.95" customHeight="1" outlineLevel="3" x14ac:dyDescent="0.2">
      <c r="A543" s="11"/>
      <c r="B543" s="12">
        <v>290</v>
      </c>
      <c r="C543" s="12">
        <v>440</v>
      </c>
      <c r="D543" s="12">
        <v>11083</v>
      </c>
      <c r="E543" s="13" t="s">
        <v>719</v>
      </c>
      <c r="F543" s="13" t="s">
        <v>720</v>
      </c>
      <c r="G543" s="13" t="s">
        <v>56</v>
      </c>
      <c r="H543" s="13" t="s">
        <v>40</v>
      </c>
      <c r="I543" s="12">
        <v>2025</v>
      </c>
      <c r="J543" s="13" t="s">
        <v>721</v>
      </c>
      <c r="K543" s="12">
        <v>9785961411805</v>
      </c>
      <c r="L543" s="13" t="s">
        <v>722</v>
      </c>
      <c r="M543" s="12">
        <v>170</v>
      </c>
      <c r="N543" s="14">
        <v>0.12</v>
      </c>
      <c r="O543" s="12">
        <v>115</v>
      </c>
      <c r="P543" s="12">
        <v>165</v>
      </c>
      <c r="Q543" s="12">
        <v>16</v>
      </c>
      <c r="R543" s="13" t="s">
        <v>75</v>
      </c>
      <c r="S543" s="13" t="s">
        <v>253</v>
      </c>
      <c r="T543" s="15">
        <v>10000</v>
      </c>
      <c r="U543" s="13" t="s">
        <v>44</v>
      </c>
      <c r="V543" s="13" t="s">
        <v>64</v>
      </c>
      <c r="W543" s="12">
        <v>10</v>
      </c>
      <c r="X543" s="33" t="str">
        <f>HYPERLINK("https://www.alpinabook.ru/catalog/book-sila-obayaniya","ссылка на книгу")</f>
        <v>ссылка на книгу</v>
      </c>
      <c r="Y543" s="34" t="str">
        <f>HYPERLINK("https://api-enni.alpina.ru/FilePrivilegesApproval/2","https://api-enni.alpina.ru/FilePrivilegesApproval/2")</f>
        <v>https://api-enni.alpina.ru/FilePrivilegesApproval/2</v>
      </c>
      <c r="Z543" s="13" t="s">
        <v>118</v>
      </c>
      <c r="AT543" s="1">
        <f t="shared" si="60"/>
        <v>0</v>
      </c>
      <c r="AU543" s="1">
        <f t="shared" si="61"/>
        <v>0</v>
      </c>
      <c r="AV543" s="1">
        <f t="shared" si="62"/>
        <v>0</v>
      </c>
      <c r="AW543" s="1">
        <f t="shared" si="63"/>
        <v>0</v>
      </c>
      <c r="AX543" s="1">
        <f t="shared" si="64"/>
        <v>0</v>
      </c>
    </row>
    <row r="544" spans="1:50" s="1" customFormat="1" ht="24.95" customHeight="1" outlineLevel="3" x14ac:dyDescent="0.2">
      <c r="A544" s="11"/>
      <c r="B544" s="12">
        <v>340</v>
      </c>
      <c r="C544" s="12">
        <v>540</v>
      </c>
      <c r="D544" s="12">
        <v>11079</v>
      </c>
      <c r="E544" s="13" t="s">
        <v>1792</v>
      </c>
      <c r="F544" s="13" t="s">
        <v>1793</v>
      </c>
      <c r="G544" s="13" t="s">
        <v>56</v>
      </c>
      <c r="H544" s="13" t="s">
        <v>40</v>
      </c>
      <c r="I544" s="12">
        <v>2023</v>
      </c>
      <c r="J544" s="13" t="s">
        <v>1794</v>
      </c>
      <c r="K544" s="12">
        <v>9785961411591</v>
      </c>
      <c r="L544" s="13" t="s">
        <v>1795</v>
      </c>
      <c r="M544" s="12">
        <v>526</v>
      </c>
      <c r="N544" s="14">
        <v>0.34</v>
      </c>
      <c r="O544" s="12">
        <v>110</v>
      </c>
      <c r="P544" s="12">
        <v>170</v>
      </c>
      <c r="Q544" s="12">
        <v>5</v>
      </c>
      <c r="R544" s="13" t="s">
        <v>75</v>
      </c>
      <c r="S544" s="13" t="s">
        <v>253</v>
      </c>
      <c r="T544" s="15">
        <v>5000</v>
      </c>
      <c r="U544" s="13" t="s">
        <v>44</v>
      </c>
      <c r="V544" s="13" t="s">
        <v>64</v>
      </c>
      <c r="W544" s="12">
        <v>10</v>
      </c>
      <c r="X544" s="33" t="str">
        <f>HYPERLINK("https://www.alpinabook.ru/catalog/book-to-kak-my-rabotaem-ne-rabotaet","ссылка на книгу")</f>
        <v>ссылка на книгу</v>
      </c>
      <c r="Y544" s="34" t="str">
        <f>HYPERLINK("https://api-enni.alpina.ru/FilePrivilegesApproval/152","https://api-enni.alpina.ru/FilePrivilegesApproval/152")</f>
        <v>https://api-enni.alpina.ru/FilePrivilegesApproval/152</v>
      </c>
      <c r="Z544" s="13"/>
      <c r="AT544" s="1">
        <f t="shared" si="60"/>
        <v>0</v>
      </c>
      <c r="AU544" s="1">
        <f t="shared" si="61"/>
        <v>0</v>
      </c>
      <c r="AV544" s="1">
        <f t="shared" si="62"/>
        <v>0</v>
      </c>
      <c r="AW544" s="1">
        <f t="shared" si="63"/>
        <v>0</v>
      </c>
      <c r="AX544" s="1">
        <f t="shared" si="64"/>
        <v>0</v>
      </c>
    </row>
    <row r="545" spans="1:50" s="1" customFormat="1" ht="24.95" customHeight="1" outlineLevel="3" x14ac:dyDescent="0.2">
      <c r="A545" s="11"/>
      <c r="B545" s="12">
        <v>290</v>
      </c>
      <c r="C545" s="12">
        <v>440</v>
      </c>
      <c r="D545" s="12">
        <v>11081</v>
      </c>
      <c r="E545" s="13" t="s">
        <v>1796</v>
      </c>
      <c r="F545" s="13" t="s">
        <v>1797</v>
      </c>
      <c r="G545" s="13" t="s">
        <v>56</v>
      </c>
      <c r="H545" s="13" t="s">
        <v>40</v>
      </c>
      <c r="I545" s="12">
        <v>2022</v>
      </c>
      <c r="J545" s="13" t="s">
        <v>1798</v>
      </c>
      <c r="K545" s="12">
        <v>9785961411782</v>
      </c>
      <c r="L545" s="13" t="s">
        <v>1799</v>
      </c>
      <c r="M545" s="12">
        <v>160</v>
      </c>
      <c r="N545" s="14">
        <v>0.13</v>
      </c>
      <c r="O545" s="12">
        <v>120</v>
      </c>
      <c r="P545" s="12">
        <v>170</v>
      </c>
      <c r="Q545" s="12">
        <v>30</v>
      </c>
      <c r="R545" s="13" t="s">
        <v>75</v>
      </c>
      <c r="S545" s="13" t="s">
        <v>253</v>
      </c>
      <c r="T545" s="15">
        <v>2000</v>
      </c>
      <c r="U545" s="13" t="s">
        <v>44</v>
      </c>
      <c r="V545" s="13" t="s">
        <v>64</v>
      </c>
      <c r="W545" s="12">
        <v>10</v>
      </c>
      <c r="X545" s="33" t="str">
        <f>HYPERLINK("https://www.alpinabook.ru/catalog/book-trenirovka-pamyati","ссылка на книгу")</f>
        <v>ссылка на книгу</v>
      </c>
      <c r="Y545" s="34" t="str">
        <f>HYPERLINK("https://api-enni.alpina.ru/FilePrivilegesApproval/156","https://api-enni.alpina.ru/FilePrivilegesApproval/156")</f>
        <v>https://api-enni.alpina.ru/FilePrivilegesApproval/156</v>
      </c>
      <c r="Z545" s="13"/>
      <c r="AT545" s="1">
        <f t="shared" si="60"/>
        <v>0</v>
      </c>
      <c r="AU545" s="1">
        <f t="shared" si="61"/>
        <v>0</v>
      </c>
      <c r="AV545" s="1">
        <f t="shared" si="62"/>
        <v>0</v>
      </c>
      <c r="AW545" s="1">
        <f t="shared" si="63"/>
        <v>0</v>
      </c>
      <c r="AX545" s="1">
        <f t="shared" si="64"/>
        <v>0</v>
      </c>
    </row>
    <row r="546" spans="1:50" s="1" customFormat="1" ht="24.95" customHeight="1" outlineLevel="3" x14ac:dyDescent="0.2">
      <c r="A546" s="11"/>
      <c r="B546" s="12">
        <v>290</v>
      </c>
      <c r="C546" s="12">
        <v>440</v>
      </c>
      <c r="D546" s="12">
        <v>11184</v>
      </c>
      <c r="E546" s="13" t="s">
        <v>827</v>
      </c>
      <c r="F546" s="13" t="s">
        <v>1800</v>
      </c>
      <c r="G546" s="13" t="s">
        <v>56</v>
      </c>
      <c r="H546" s="13"/>
      <c r="I546" s="12">
        <v>2023</v>
      </c>
      <c r="J546" s="13" t="s">
        <v>1801</v>
      </c>
      <c r="K546" s="12">
        <v>9785961415070</v>
      </c>
      <c r="L546" s="13" t="s">
        <v>1802</v>
      </c>
      <c r="M546" s="12">
        <v>286</v>
      </c>
      <c r="N546" s="14">
        <v>0.19</v>
      </c>
      <c r="O546" s="12">
        <v>120</v>
      </c>
      <c r="P546" s="12">
        <v>170</v>
      </c>
      <c r="Q546" s="12">
        <v>10</v>
      </c>
      <c r="R546" s="13" t="s">
        <v>75</v>
      </c>
      <c r="S546" s="13" t="s">
        <v>253</v>
      </c>
      <c r="T546" s="15">
        <v>10000</v>
      </c>
      <c r="U546" s="13" t="s">
        <v>44</v>
      </c>
      <c r="V546" s="13" t="s">
        <v>64</v>
      </c>
      <c r="W546" s="12">
        <v>10</v>
      </c>
      <c r="X546" s="33" t="str">
        <f>HYPERLINK("https://www.alpinabook.ru/catalog/book-ubezhday-i-pobezhday","ссылка на книгу")</f>
        <v>ссылка на книгу</v>
      </c>
      <c r="Y546" s="34" t="str">
        <f>HYPERLINK("https://api-enni.alpina.ru/FilePrivilegesApproval/152","https://api-enni.alpina.ru/FilePrivilegesApproval/152")</f>
        <v>https://api-enni.alpina.ru/FilePrivilegesApproval/152</v>
      </c>
      <c r="Z546" s="13"/>
      <c r="AT546" s="1">
        <f t="shared" si="60"/>
        <v>0</v>
      </c>
      <c r="AU546" s="1">
        <f t="shared" si="61"/>
        <v>0</v>
      </c>
      <c r="AV546" s="1">
        <f t="shared" si="62"/>
        <v>0</v>
      </c>
      <c r="AW546" s="1">
        <f t="shared" si="63"/>
        <v>0</v>
      </c>
      <c r="AX546" s="1">
        <f t="shared" si="64"/>
        <v>0</v>
      </c>
    </row>
    <row r="547" spans="1:50" s="1" customFormat="1" ht="24.95" customHeight="1" outlineLevel="3" x14ac:dyDescent="0.2">
      <c r="A547" s="11"/>
      <c r="B547" s="12">
        <v>290</v>
      </c>
      <c r="C547" s="12">
        <v>440</v>
      </c>
      <c r="D547" s="12">
        <v>9123</v>
      </c>
      <c r="E547" s="13" t="s">
        <v>798</v>
      </c>
      <c r="F547" s="13" t="s">
        <v>799</v>
      </c>
      <c r="G547" s="13" t="s">
        <v>56</v>
      </c>
      <c r="H547" s="13" t="s">
        <v>40</v>
      </c>
      <c r="I547" s="12">
        <v>2025</v>
      </c>
      <c r="J547" s="13" t="s">
        <v>800</v>
      </c>
      <c r="K547" s="12">
        <v>9785961471403</v>
      </c>
      <c r="L547" s="13" t="s">
        <v>801</v>
      </c>
      <c r="M547" s="12">
        <v>430</v>
      </c>
      <c r="N547" s="14">
        <v>0.28999999999999998</v>
      </c>
      <c r="O547" s="12">
        <v>120</v>
      </c>
      <c r="P547" s="12">
        <v>170</v>
      </c>
      <c r="Q547" s="12">
        <v>8</v>
      </c>
      <c r="R547" s="13" t="s">
        <v>75</v>
      </c>
      <c r="S547" s="13" t="s">
        <v>253</v>
      </c>
      <c r="T547" s="15">
        <v>30000</v>
      </c>
      <c r="U547" s="13" t="s">
        <v>44</v>
      </c>
      <c r="V547" s="13" t="s">
        <v>64</v>
      </c>
      <c r="W547" s="12">
        <v>10</v>
      </c>
      <c r="X547" s="33" t="str">
        <f>HYPERLINK("https://www.alpinabook.ru/catalog/book-kharizma-kak-vliyat","ссылка на книгу")</f>
        <v>ссылка на книгу</v>
      </c>
      <c r="Y547" s="34" t="str">
        <f>HYPERLINK("https://api-enni.alpina.ru/FilePrivilegesApproval/156","https://api-enni.alpina.ru/FilePrivilegesApproval/156")</f>
        <v>https://api-enni.alpina.ru/FilePrivilegesApproval/156</v>
      </c>
      <c r="Z547" s="13" t="s">
        <v>732</v>
      </c>
      <c r="AT547" s="1">
        <f t="shared" si="60"/>
        <v>0</v>
      </c>
      <c r="AU547" s="1">
        <f t="shared" si="61"/>
        <v>0</v>
      </c>
      <c r="AV547" s="1">
        <f t="shared" si="62"/>
        <v>0</v>
      </c>
      <c r="AW547" s="1">
        <f t="shared" si="63"/>
        <v>0</v>
      </c>
      <c r="AX547" s="1">
        <f t="shared" si="64"/>
        <v>0</v>
      </c>
    </row>
    <row r="548" spans="1:50" s="1" customFormat="1" ht="24.95" customHeight="1" outlineLevel="3" x14ac:dyDescent="0.2">
      <c r="A548" s="11"/>
      <c r="B548" s="12">
        <v>290</v>
      </c>
      <c r="C548" s="12">
        <v>440</v>
      </c>
      <c r="D548" s="12">
        <v>29051</v>
      </c>
      <c r="E548" s="13" t="s">
        <v>1803</v>
      </c>
      <c r="F548" s="13" t="s">
        <v>1804</v>
      </c>
      <c r="G548" s="13" t="s">
        <v>56</v>
      </c>
      <c r="H548" s="13" t="s">
        <v>40</v>
      </c>
      <c r="I548" s="12">
        <v>2024</v>
      </c>
      <c r="J548" s="13" t="s">
        <v>1805</v>
      </c>
      <c r="K548" s="12">
        <v>9785961491227</v>
      </c>
      <c r="L548" s="13" t="s">
        <v>1806</v>
      </c>
      <c r="M548" s="12">
        <v>256</v>
      </c>
      <c r="N548" s="14">
        <v>0.17</v>
      </c>
      <c r="O548" s="12">
        <v>120</v>
      </c>
      <c r="P548" s="12">
        <v>170</v>
      </c>
      <c r="Q548" s="12">
        <v>24</v>
      </c>
      <c r="R548" s="13" t="s">
        <v>75</v>
      </c>
      <c r="S548" s="13" t="s">
        <v>253</v>
      </c>
      <c r="T548" s="15">
        <v>2000</v>
      </c>
      <c r="U548" s="13" t="s">
        <v>44</v>
      </c>
      <c r="V548" s="13" t="s">
        <v>64</v>
      </c>
      <c r="W548" s="12">
        <v>10</v>
      </c>
      <c r="X548" s="33" t="str">
        <f>HYPERLINK("https://www.alpinabook.ru/catalog/book-shkola-flayledi","ссылка на книгу")</f>
        <v>ссылка на книгу</v>
      </c>
      <c r="Y548" s="34" t="str">
        <f>HYPERLINK("https://api-enni.alpina.ru/FilePrivilegesApproval/315","https://api-enni.alpina.ru/FilePrivilegesApproval/315")</f>
        <v>https://api-enni.alpina.ru/FilePrivilegesApproval/315</v>
      </c>
      <c r="Z548" s="13"/>
      <c r="AT548" s="1">
        <f t="shared" si="60"/>
        <v>0</v>
      </c>
      <c r="AU548" s="1">
        <f t="shared" si="61"/>
        <v>0</v>
      </c>
      <c r="AV548" s="1">
        <f t="shared" si="62"/>
        <v>0</v>
      </c>
      <c r="AW548" s="1">
        <f t="shared" si="63"/>
        <v>0</v>
      </c>
      <c r="AX548" s="1">
        <f t="shared" si="64"/>
        <v>0</v>
      </c>
    </row>
    <row r="549" spans="1:50" s="1" customFormat="1" ht="24.95" customHeight="1" outlineLevel="3" x14ac:dyDescent="0.2">
      <c r="A549" s="11"/>
      <c r="B549" s="12">
        <v>340</v>
      </c>
      <c r="C549" s="12">
        <v>540</v>
      </c>
      <c r="D549" s="12">
        <v>12733</v>
      </c>
      <c r="E549" s="13" t="s">
        <v>1807</v>
      </c>
      <c r="F549" s="13" t="s">
        <v>1808</v>
      </c>
      <c r="G549" s="13" t="s">
        <v>56</v>
      </c>
      <c r="H549" s="13" t="s">
        <v>40</v>
      </c>
      <c r="I549" s="12">
        <v>2024</v>
      </c>
      <c r="J549" s="13" t="s">
        <v>1809</v>
      </c>
      <c r="K549" s="12">
        <v>9785961426861</v>
      </c>
      <c r="L549" s="13" t="s">
        <v>1810</v>
      </c>
      <c r="M549" s="12">
        <v>414</v>
      </c>
      <c r="N549" s="14">
        <v>0.26</v>
      </c>
      <c r="O549" s="12">
        <v>115</v>
      </c>
      <c r="P549" s="12">
        <v>165</v>
      </c>
      <c r="Q549" s="12">
        <v>16</v>
      </c>
      <c r="R549" s="13" t="s">
        <v>75</v>
      </c>
      <c r="S549" s="13" t="s">
        <v>253</v>
      </c>
      <c r="T549" s="15">
        <v>2000</v>
      </c>
      <c r="U549" s="13" t="s">
        <v>44</v>
      </c>
      <c r="V549" s="13" t="s">
        <v>59</v>
      </c>
      <c r="W549" s="12">
        <v>10</v>
      </c>
      <c r="X549" s="33" t="str">
        <f>HYPERLINK("https://www.alpinabook.ru/catalog/book-eynshteyn-gulyaet-po-lune","ссылка на книгу")</f>
        <v>ссылка на книгу</v>
      </c>
      <c r="Y549" s="34" t="str">
        <f>HYPERLINK("https://api-enni.alpina.ru/FilePrivilegesApproval/119","https://api-enni.alpina.ru/FilePrivilegesApproval/119")</f>
        <v>https://api-enni.alpina.ru/FilePrivilegesApproval/119</v>
      </c>
      <c r="Z549" s="13"/>
      <c r="AT549" s="1">
        <f t="shared" si="60"/>
        <v>0</v>
      </c>
      <c r="AU549" s="1">
        <f t="shared" si="61"/>
        <v>0</v>
      </c>
      <c r="AV549" s="1">
        <f t="shared" si="62"/>
        <v>0</v>
      </c>
      <c r="AW549" s="1">
        <f t="shared" si="63"/>
        <v>0</v>
      </c>
      <c r="AX549" s="1">
        <f t="shared" si="64"/>
        <v>0</v>
      </c>
    </row>
    <row r="550" spans="1:50" s="1" customFormat="1" ht="24.95" customHeight="1" outlineLevel="3" x14ac:dyDescent="0.2">
      <c r="A550" s="11"/>
      <c r="B550" s="12">
        <v>290</v>
      </c>
      <c r="C550" s="12">
        <v>440</v>
      </c>
      <c r="D550" s="12">
        <v>27821</v>
      </c>
      <c r="E550" s="13" t="s">
        <v>1322</v>
      </c>
      <c r="F550" s="13" t="s">
        <v>1811</v>
      </c>
      <c r="G550" s="13" t="s">
        <v>56</v>
      </c>
      <c r="H550" s="13"/>
      <c r="I550" s="12">
        <v>2025</v>
      </c>
      <c r="J550" s="13" t="s">
        <v>1812</v>
      </c>
      <c r="K550" s="12">
        <v>9785961486421</v>
      </c>
      <c r="L550" s="13" t="s">
        <v>1813</v>
      </c>
      <c r="M550" s="12">
        <v>252</v>
      </c>
      <c r="N550" s="14">
        <v>0.17</v>
      </c>
      <c r="O550" s="12">
        <v>120</v>
      </c>
      <c r="P550" s="12">
        <v>170</v>
      </c>
      <c r="Q550" s="12">
        <v>20</v>
      </c>
      <c r="R550" s="13" t="s">
        <v>75</v>
      </c>
      <c r="S550" s="13" t="s">
        <v>253</v>
      </c>
      <c r="T550" s="15">
        <v>2000</v>
      </c>
      <c r="U550" s="13" t="s">
        <v>44</v>
      </c>
      <c r="V550" s="13" t="s">
        <v>45</v>
      </c>
      <c r="W550" s="12">
        <v>10</v>
      </c>
      <c r="X550" s="33" t="str">
        <f>HYPERLINK("https://www.alpinabook.ru/catalog/book-energiya-novaya-valyuta","ссылка на книгу")</f>
        <v>ссылка на книгу</v>
      </c>
      <c r="Y550" s="34" t="str">
        <f>HYPERLINK("https://api-enni.alpina.ru/FilePrivilegesApproval/214","https://api-enni.alpina.ru/FilePrivilegesApproval/214")</f>
        <v>https://api-enni.alpina.ru/FilePrivilegesApproval/214</v>
      </c>
      <c r="Z550" s="13"/>
      <c r="AT550" s="1">
        <f t="shared" si="60"/>
        <v>0</v>
      </c>
      <c r="AU550" s="1">
        <f t="shared" si="61"/>
        <v>0</v>
      </c>
      <c r="AV550" s="1">
        <f t="shared" si="62"/>
        <v>0</v>
      </c>
      <c r="AW550" s="1">
        <f t="shared" si="63"/>
        <v>0</v>
      </c>
      <c r="AX550" s="1">
        <f t="shared" si="64"/>
        <v>0</v>
      </c>
    </row>
    <row r="551" spans="1:50" ht="11.1" customHeight="1" outlineLevel="2" x14ac:dyDescent="0.2">
      <c r="A551" s="40" t="s">
        <v>1814</v>
      </c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20"/>
    </row>
    <row r="552" spans="1:50" s="1" customFormat="1" ht="24.95" customHeight="1" outlineLevel="3" x14ac:dyDescent="0.2">
      <c r="A552" s="11"/>
      <c r="B552" s="12">
        <v>290</v>
      </c>
      <c r="C552" s="12">
        <v>440</v>
      </c>
      <c r="D552" s="12">
        <v>8744</v>
      </c>
      <c r="E552" s="13" t="s">
        <v>945</v>
      </c>
      <c r="F552" s="13" t="s">
        <v>1815</v>
      </c>
      <c r="G552" s="13" t="s">
        <v>56</v>
      </c>
      <c r="H552" s="13" t="s">
        <v>850</v>
      </c>
      <c r="I552" s="12">
        <v>2023</v>
      </c>
      <c r="J552" s="13" t="s">
        <v>1816</v>
      </c>
      <c r="K552" s="12">
        <v>9785961470000</v>
      </c>
      <c r="L552" s="13" t="s">
        <v>1817</v>
      </c>
      <c r="M552" s="12">
        <v>176</v>
      </c>
      <c r="N552" s="14">
        <v>0.12</v>
      </c>
      <c r="O552" s="12">
        <v>120</v>
      </c>
      <c r="P552" s="12">
        <v>170</v>
      </c>
      <c r="Q552" s="12">
        <v>14</v>
      </c>
      <c r="R552" s="13" t="s">
        <v>75</v>
      </c>
      <c r="S552" s="13" t="s">
        <v>76</v>
      </c>
      <c r="T552" s="15">
        <v>15000</v>
      </c>
      <c r="U552" s="13" t="s">
        <v>44</v>
      </c>
      <c r="V552" s="13" t="s">
        <v>64</v>
      </c>
      <c r="W552" s="12">
        <v>10</v>
      </c>
      <c r="X552" s="33" t="str">
        <f>HYPERLINK("https://www.alpinabook.ru/catalog/book-blizko-k-serdtsu","ссылка на книгу")</f>
        <v>ссылка на книгу</v>
      </c>
      <c r="Y552" s="34" t="str">
        <f>HYPERLINK("https://api-enni.alpina.ru/FilePrivilegesApproval/2","https://api-enni.alpina.ru/FilePrivilegesApproval/2")</f>
        <v>https://api-enni.alpina.ru/FilePrivilegesApproval/2</v>
      </c>
      <c r="Z552" s="13"/>
      <c r="AT552" s="1">
        <f t="shared" ref="AT552:AT575" si="65">IF($A552&lt;&gt;0,1,0)</f>
        <v>0</v>
      </c>
      <c r="AU552" s="1">
        <f t="shared" ref="AU552:AU575" si="66">$A552*$B552</f>
        <v>0</v>
      </c>
      <c r="AV552" s="1">
        <f t="shared" ref="AV552:AV575" si="67">$A552*$N552</f>
        <v>0</v>
      </c>
      <c r="AW552" s="1">
        <f t="shared" ref="AW552:AW575" si="68">IF($Q552=0,0,INT($A552/$Q552))</f>
        <v>0</v>
      </c>
      <c r="AX552" s="1">
        <f t="shared" ref="AX552:AX575" si="69">$A552-$AW552*$Q552</f>
        <v>0</v>
      </c>
    </row>
    <row r="553" spans="1:50" s="1" customFormat="1" ht="24.95" customHeight="1" outlineLevel="3" x14ac:dyDescent="0.2">
      <c r="A553" s="11"/>
      <c r="B553" s="12">
        <v>290</v>
      </c>
      <c r="C553" s="12">
        <v>290</v>
      </c>
      <c r="D553" s="12">
        <v>8619</v>
      </c>
      <c r="E553" s="13" t="s">
        <v>1818</v>
      </c>
      <c r="F553" s="13" t="s">
        <v>1819</v>
      </c>
      <c r="G553" s="13" t="s">
        <v>56</v>
      </c>
      <c r="H553" s="13" t="s">
        <v>40</v>
      </c>
      <c r="I553" s="12">
        <v>2023</v>
      </c>
      <c r="J553" s="13" t="s">
        <v>1820</v>
      </c>
      <c r="K553" s="12">
        <v>9785961471533</v>
      </c>
      <c r="L553" s="13" t="s">
        <v>1821</v>
      </c>
      <c r="M553" s="12">
        <v>368</v>
      </c>
      <c r="N553" s="14">
        <v>0.24</v>
      </c>
      <c r="O553" s="12">
        <v>115</v>
      </c>
      <c r="P553" s="12">
        <v>165</v>
      </c>
      <c r="Q553" s="12">
        <v>9</v>
      </c>
      <c r="R553" s="13" t="s">
        <v>75</v>
      </c>
      <c r="S553" s="13" t="s">
        <v>76</v>
      </c>
      <c r="T553" s="15">
        <v>2000</v>
      </c>
      <c r="U553" s="13" t="s">
        <v>44</v>
      </c>
      <c r="V553" s="13" t="s">
        <v>64</v>
      </c>
      <c r="W553" s="12">
        <v>10</v>
      </c>
      <c r="X553" s="33" t="str">
        <f>HYPERLINK("https://www.alpinabook.ru/catalog/book-david-i-goliaf","ссылка на книгу")</f>
        <v>ссылка на книгу</v>
      </c>
      <c r="Y553" s="34" t="str">
        <f>HYPERLINK("https://api-enni.alpina.ru/FilePrivilegesApproval/2","https://api-enni.alpina.ru/FilePrivilegesApproval/2")</f>
        <v>https://api-enni.alpina.ru/FilePrivilegesApproval/2</v>
      </c>
      <c r="Z553" s="13"/>
      <c r="AT553" s="1">
        <f t="shared" si="65"/>
        <v>0</v>
      </c>
      <c r="AU553" s="1">
        <f t="shared" si="66"/>
        <v>0</v>
      </c>
      <c r="AV553" s="1">
        <f t="shared" si="67"/>
        <v>0</v>
      </c>
      <c r="AW553" s="1">
        <f t="shared" si="68"/>
        <v>0</v>
      </c>
      <c r="AX553" s="1">
        <f t="shared" si="69"/>
        <v>0</v>
      </c>
    </row>
    <row r="554" spans="1:50" s="1" customFormat="1" ht="24.95" customHeight="1" outlineLevel="3" x14ac:dyDescent="0.2">
      <c r="A554" s="26"/>
      <c r="B554" s="27">
        <v>340</v>
      </c>
      <c r="C554" s="27">
        <v>540</v>
      </c>
      <c r="D554" s="27">
        <v>8877</v>
      </c>
      <c r="E554" s="29" t="s">
        <v>291</v>
      </c>
      <c r="F554" s="29" t="s">
        <v>1822</v>
      </c>
      <c r="G554" s="29" t="s">
        <v>56</v>
      </c>
      <c r="H554" s="29" t="s">
        <v>40</v>
      </c>
      <c r="I554" s="27">
        <v>2024</v>
      </c>
      <c r="J554" s="29" t="s">
        <v>1823</v>
      </c>
      <c r="K554" s="27">
        <v>9785961470697</v>
      </c>
      <c r="L554" s="29" t="s">
        <v>1824</v>
      </c>
      <c r="M554" s="27">
        <v>272</v>
      </c>
      <c r="N554" s="30">
        <v>0.18</v>
      </c>
      <c r="O554" s="27">
        <v>120</v>
      </c>
      <c r="P554" s="27">
        <v>170</v>
      </c>
      <c r="Q554" s="27">
        <v>24</v>
      </c>
      <c r="R554" s="29" t="s">
        <v>75</v>
      </c>
      <c r="S554" s="29" t="s">
        <v>76</v>
      </c>
      <c r="T554" s="28">
        <v>2000</v>
      </c>
      <c r="U554" s="29" t="s">
        <v>44</v>
      </c>
      <c r="V554" s="29" t="s">
        <v>59</v>
      </c>
      <c r="W554" s="27">
        <v>10</v>
      </c>
      <c r="X554" s="37" t="str">
        <f>HYPERLINK("https://www.alpinabook.ru/catalog/book-dobrodetel-egoizma","ссылка на книгу")</f>
        <v>ссылка на книгу</v>
      </c>
      <c r="Y554" s="38" t="str">
        <f>HYPERLINK("https://api-enni.alpina.ru/FilePrivilegesApproval/156","https://api-enni.alpina.ru/FilePrivilegesApproval/156")</f>
        <v>https://api-enni.alpina.ru/FilePrivilegesApproval/156</v>
      </c>
      <c r="Z554" s="29"/>
      <c r="AT554" s="1">
        <f t="shared" si="65"/>
        <v>0</v>
      </c>
      <c r="AU554" s="1">
        <f t="shared" si="66"/>
        <v>0</v>
      </c>
      <c r="AV554" s="1">
        <f t="shared" si="67"/>
        <v>0</v>
      </c>
      <c r="AW554" s="1">
        <f t="shared" si="68"/>
        <v>0</v>
      </c>
      <c r="AX554" s="1">
        <f t="shared" si="69"/>
        <v>0</v>
      </c>
    </row>
    <row r="555" spans="1:50" s="1" customFormat="1" ht="24.95" customHeight="1" outlineLevel="3" x14ac:dyDescent="0.2">
      <c r="A555" s="11"/>
      <c r="B555" s="12">
        <v>290</v>
      </c>
      <c r="C555" s="12">
        <v>440</v>
      </c>
      <c r="D555" s="12">
        <v>25979</v>
      </c>
      <c r="E555" s="13" t="s">
        <v>449</v>
      </c>
      <c r="F555" s="13" t="s">
        <v>450</v>
      </c>
      <c r="G555" s="13" t="s">
        <v>56</v>
      </c>
      <c r="H555" s="13" t="s">
        <v>200</v>
      </c>
      <c r="I555" s="12">
        <v>2025</v>
      </c>
      <c r="J555" s="13" t="s">
        <v>451</v>
      </c>
      <c r="K555" s="12">
        <v>9785961483741</v>
      </c>
      <c r="L555" s="13" t="s">
        <v>452</v>
      </c>
      <c r="M555" s="12">
        <v>176</v>
      </c>
      <c r="N555" s="14">
        <v>0.14000000000000001</v>
      </c>
      <c r="O555" s="12">
        <v>120</v>
      </c>
      <c r="P555" s="12">
        <v>170</v>
      </c>
      <c r="Q555" s="12">
        <v>30</v>
      </c>
      <c r="R555" s="13" t="s">
        <v>75</v>
      </c>
      <c r="S555" s="13" t="s">
        <v>76</v>
      </c>
      <c r="T555" s="15">
        <v>2000</v>
      </c>
      <c r="U555" s="13" t="s">
        <v>44</v>
      </c>
      <c r="V555" s="13" t="s">
        <v>64</v>
      </c>
      <c r="W555" s="12">
        <v>10</v>
      </c>
      <c r="X555" s="33" t="str">
        <f>HYPERLINK("https://www.alpinabook.ru/catalog/book-ikigay","ссылка на книгу")</f>
        <v>ссылка на книгу</v>
      </c>
      <c r="Y555" s="34" t="str">
        <f>HYPERLINK("https://api-enni.alpina.ru/FilePrivilegesApproval/122","https://api-enni.alpina.ru/FilePrivilegesApproval/122")</f>
        <v>https://api-enni.alpina.ru/FilePrivilegesApproval/122</v>
      </c>
      <c r="Z555" s="13" t="s">
        <v>70</v>
      </c>
      <c r="AT555" s="1">
        <f t="shared" si="65"/>
        <v>0</v>
      </c>
      <c r="AU555" s="1">
        <f t="shared" si="66"/>
        <v>0</v>
      </c>
      <c r="AV555" s="1">
        <f t="shared" si="67"/>
        <v>0</v>
      </c>
      <c r="AW555" s="1">
        <f t="shared" si="68"/>
        <v>0</v>
      </c>
      <c r="AX555" s="1">
        <f t="shared" si="69"/>
        <v>0</v>
      </c>
    </row>
    <row r="556" spans="1:50" s="1" customFormat="1" ht="24.95" customHeight="1" outlineLevel="3" x14ac:dyDescent="0.2">
      <c r="A556" s="11"/>
      <c r="B556" s="12">
        <v>340</v>
      </c>
      <c r="C556" s="12">
        <v>540</v>
      </c>
      <c r="D556" s="12">
        <v>8595</v>
      </c>
      <c r="E556" s="13" t="s">
        <v>183</v>
      </c>
      <c r="F556" s="13" t="s">
        <v>1825</v>
      </c>
      <c r="G556" s="13" t="s">
        <v>56</v>
      </c>
      <c r="H556" s="13" t="s">
        <v>40</v>
      </c>
      <c r="I556" s="12">
        <v>2025</v>
      </c>
      <c r="J556" s="13" t="s">
        <v>1826</v>
      </c>
      <c r="K556" s="12">
        <v>9785961468557</v>
      </c>
      <c r="L556" s="13" t="s">
        <v>1827</v>
      </c>
      <c r="M556" s="12">
        <v>544</v>
      </c>
      <c r="N556" s="14">
        <v>0.33</v>
      </c>
      <c r="O556" s="12">
        <v>120</v>
      </c>
      <c r="P556" s="12">
        <v>170</v>
      </c>
      <c r="Q556" s="12">
        <v>6</v>
      </c>
      <c r="R556" s="13" t="s">
        <v>75</v>
      </c>
      <c r="S556" s="13" t="s">
        <v>76</v>
      </c>
      <c r="T556" s="15">
        <v>7000</v>
      </c>
      <c r="U556" s="13" t="s">
        <v>44</v>
      </c>
      <c r="V556" s="13" t="s">
        <v>64</v>
      </c>
      <c r="W556" s="12">
        <v>10</v>
      </c>
      <c r="X556" s="33" t="str">
        <f>HYPERLINK("https://www.alpinabook.ru/catalog/book-kak-nauchitsya-optimizmu","ссылка на книгу")</f>
        <v>ссылка на книгу</v>
      </c>
      <c r="Y556" s="34" t="str">
        <f>HYPERLINK("https://api-enni.alpina.ru/FilePrivilegesApproval/152","https://api-enni.alpina.ru/FilePrivilegesApproval/152")</f>
        <v>https://api-enni.alpina.ru/FilePrivilegesApproval/152</v>
      </c>
      <c r="Z556" s="13"/>
      <c r="AT556" s="1">
        <f t="shared" si="65"/>
        <v>0</v>
      </c>
      <c r="AU556" s="1">
        <f t="shared" si="66"/>
        <v>0</v>
      </c>
      <c r="AV556" s="1">
        <f t="shared" si="67"/>
        <v>0</v>
      </c>
      <c r="AW556" s="1">
        <f t="shared" si="68"/>
        <v>0</v>
      </c>
      <c r="AX556" s="1">
        <f t="shared" si="69"/>
        <v>0</v>
      </c>
    </row>
    <row r="557" spans="1:50" s="1" customFormat="1" ht="24.95" customHeight="1" outlineLevel="3" x14ac:dyDescent="0.2">
      <c r="A557" s="11"/>
      <c r="B557" s="12">
        <v>390</v>
      </c>
      <c r="C557" s="12">
        <v>540</v>
      </c>
      <c r="D557" s="12">
        <v>26438</v>
      </c>
      <c r="E557" s="13" t="s">
        <v>727</v>
      </c>
      <c r="F557" s="13" t="s">
        <v>1828</v>
      </c>
      <c r="G557" s="13" t="s">
        <v>86</v>
      </c>
      <c r="H557" s="13" t="s">
        <v>164</v>
      </c>
      <c r="I557" s="12">
        <v>2025</v>
      </c>
      <c r="J557" s="13" t="s">
        <v>1829</v>
      </c>
      <c r="K557" s="12">
        <v>9785001397687</v>
      </c>
      <c r="L557" s="13" t="s">
        <v>1830</v>
      </c>
      <c r="M557" s="12">
        <v>448</v>
      </c>
      <c r="N557" s="14">
        <v>0.28999999999999998</v>
      </c>
      <c r="O557" s="12">
        <v>120</v>
      </c>
      <c r="P557" s="12">
        <v>170</v>
      </c>
      <c r="Q557" s="12">
        <v>24</v>
      </c>
      <c r="R557" s="13" t="s">
        <v>75</v>
      </c>
      <c r="S557" s="13" t="s">
        <v>76</v>
      </c>
      <c r="T557" s="15">
        <v>2000</v>
      </c>
      <c r="U557" s="13" t="s">
        <v>44</v>
      </c>
      <c r="V557" s="13" t="s">
        <v>45</v>
      </c>
      <c r="W557" s="12">
        <v>10</v>
      </c>
      <c r="X557" s="33" t="str">
        <f>HYPERLINK("https://www.alpinabook.ru/catalog/book-logoterapiya-i-ekzistentsialnyy-analiz","ссылка на книгу")</f>
        <v>ссылка на книгу</v>
      </c>
      <c r="Y557" s="34" t="str">
        <f>HYPERLINK("https://api-enni.alpina.ru/FilePrivilegesApproval/5","https://api-enni.alpina.ru/FilePrivilegesApproval/5")</f>
        <v>https://api-enni.alpina.ru/FilePrivilegesApproval/5</v>
      </c>
      <c r="Z557" s="13" t="s">
        <v>954</v>
      </c>
      <c r="AT557" s="1">
        <f t="shared" si="65"/>
        <v>0</v>
      </c>
      <c r="AU557" s="1">
        <f t="shared" si="66"/>
        <v>0</v>
      </c>
      <c r="AV557" s="1">
        <f t="shared" si="67"/>
        <v>0</v>
      </c>
      <c r="AW557" s="1">
        <f t="shared" si="68"/>
        <v>0</v>
      </c>
      <c r="AX557" s="1">
        <f t="shared" si="69"/>
        <v>0</v>
      </c>
    </row>
    <row r="558" spans="1:50" s="1" customFormat="1" ht="24.95" customHeight="1" outlineLevel="3" x14ac:dyDescent="0.2">
      <c r="A558" s="11"/>
      <c r="B558" s="12">
        <v>290</v>
      </c>
      <c r="C558" s="12">
        <v>440</v>
      </c>
      <c r="D558" s="12">
        <v>11310</v>
      </c>
      <c r="E558" s="13" t="s">
        <v>522</v>
      </c>
      <c r="F558" s="13" t="s">
        <v>523</v>
      </c>
      <c r="G558" s="13" t="s">
        <v>56</v>
      </c>
      <c r="H558" s="13" t="s">
        <v>164</v>
      </c>
      <c r="I558" s="12">
        <v>2025</v>
      </c>
      <c r="J558" s="13" t="s">
        <v>524</v>
      </c>
      <c r="K558" s="12">
        <v>9785961417616</v>
      </c>
      <c r="L558" s="13" t="s">
        <v>525</v>
      </c>
      <c r="M558" s="12">
        <v>268</v>
      </c>
      <c r="N558" s="14">
        <v>0.18</v>
      </c>
      <c r="O558" s="12">
        <v>115</v>
      </c>
      <c r="P558" s="12">
        <v>165</v>
      </c>
      <c r="Q558" s="12">
        <v>10</v>
      </c>
      <c r="R558" s="13" t="s">
        <v>75</v>
      </c>
      <c r="S558" s="13" t="s">
        <v>76</v>
      </c>
      <c r="T558" s="15">
        <v>5000</v>
      </c>
      <c r="U558" s="13" t="s">
        <v>44</v>
      </c>
      <c r="V558" s="13" t="s">
        <v>45</v>
      </c>
      <c r="W558" s="12">
        <v>10</v>
      </c>
      <c r="X558" s="33" t="str">
        <f>HYPERLINK("https://www.alpinabook.ru/catalog/book-lyubi-sebya","ссылка на книгу")</f>
        <v>ссылка на книгу</v>
      </c>
      <c r="Y558" s="34" t="str">
        <f>HYPERLINK("https://api-enni.alpina.ru/FilePrivilegesApproval/2","https://api-enni.alpina.ru/FilePrivilegesApproval/2")</f>
        <v>https://api-enni.alpina.ru/FilePrivilegesApproval/2</v>
      </c>
      <c r="Z558" s="13" t="s">
        <v>142</v>
      </c>
      <c r="AT558" s="1">
        <f t="shared" si="65"/>
        <v>0</v>
      </c>
      <c r="AU558" s="1">
        <f t="shared" si="66"/>
        <v>0</v>
      </c>
      <c r="AV558" s="1">
        <f t="shared" si="67"/>
        <v>0</v>
      </c>
      <c r="AW558" s="1">
        <f t="shared" si="68"/>
        <v>0</v>
      </c>
      <c r="AX558" s="1">
        <f t="shared" si="69"/>
        <v>0</v>
      </c>
    </row>
    <row r="559" spans="1:50" s="1" customFormat="1" ht="24.95" customHeight="1" outlineLevel="3" x14ac:dyDescent="0.2">
      <c r="A559" s="11"/>
      <c r="B559" s="12">
        <v>340</v>
      </c>
      <c r="C559" s="12">
        <v>540</v>
      </c>
      <c r="D559" s="12">
        <v>8614</v>
      </c>
      <c r="E559" s="13" t="s">
        <v>1831</v>
      </c>
      <c r="F559" s="13" t="s">
        <v>1832</v>
      </c>
      <c r="G559" s="13" t="s">
        <v>56</v>
      </c>
      <c r="H559" s="13" t="s">
        <v>850</v>
      </c>
      <c r="I559" s="12">
        <v>2023</v>
      </c>
      <c r="J559" s="13" t="s">
        <v>1833</v>
      </c>
      <c r="K559" s="12">
        <v>9785961470727</v>
      </c>
      <c r="L559" s="13" t="s">
        <v>1834</v>
      </c>
      <c r="M559" s="12">
        <v>416</v>
      </c>
      <c r="N559" s="14">
        <v>0.27</v>
      </c>
      <c r="O559" s="12">
        <v>115</v>
      </c>
      <c r="P559" s="12">
        <v>165</v>
      </c>
      <c r="Q559" s="12">
        <v>24</v>
      </c>
      <c r="R559" s="13" t="s">
        <v>75</v>
      </c>
      <c r="S559" s="13" t="s">
        <v>76</v>
      </c>
      <c r="T559" s="15">
        <v>2000</v>
      </c>
      <c r="U559" s="13" t="s">
        <v>44</v>
      </c>
      <c r="V559" s="13" t="s">
        <v>64</v>
      </c>
      <c r="W559" s="12">
        <v>10</v>
      </c>
      <c r="X559" s="33" t="str">
        <f>HYPERLINK("https://www.alpinabook.ru/catalog/book-na-kryuchke","ссылка на книгу")</f>
        <v>ссылка на книгу</v>
      </c>
      <c r="Y559" s="34" t="str">
        <f>HYPERLINK("https://api-enni.alpina.ru/FilePrivilegesApproval/156","https://api-enni.alpina.ru/FilePrivilegesApproval/156")</f>
        <v>https://api-enni.alpina.ru/FilePrivilegesApproval/156</v>
      </c>
      <c r="Z559" s="13"/>
      <c r="AT559" s="1">
        <f t="shared" si="65"/>
        <v>0</v>
      </c>
      <c r="AU559" s="1">
        <f t="shared" si="66"/>
        <v>0</v>
      </c>
      <c r="AV559" s="1">
        <f t="shared" si="67"/>
        <v>0</v>
      </c>
      <c r="AW559" s="1">
        <f t="shared" si="68"/>
        <v>0</v>
      </c>
      <c r="AX559" s="1">
        <f t="shared" si="69"/>
        <v>0</v>
      </c>
    </row>
    <row r="560" spans="1:50" s="1" customFormat="1" ht="24.95" customHeight="1" outlineLevel="3" x14ac:dyDescent="0.2">
      <c r="A560" s="11"/>
      <c r="B560" s="12">
        <v>340</v>
      </c>
      <c r="C560" s="12">
        <v>540</v>
      </c>
      <c r="D560" s="12">
        <v>11658</v>
      </c>
      <c r="E560" s="13" t="s">
        <v>1835</v>
      </c>
      <c r="F560" s="13" t="s">
        <v>1836</v>
      </c>
      <c r="G560" s="13" t="s">
        <v>56</v>
      </c>
      <c r="H560" s="13" t="s">
        <v>40</v>
      </c>
      <c r="I560" s="12">
        <v>2024</v>
      </c>
      <c r="J560" s="13" t="s">
        <v>1837</v>
      </c>
      <c r="K560" s="12">
        <v>9785961421484</v>
      </c>
      <c r="L560" s="13" t="s">
        <v>1838</v>
      </c>
      <c r="M560" s="12">
        <v>586</v>
      </c>
      <c r="N560" s="14">
        <v>0.38</v>
      </c>
      <c r="O560" s="12">
        <v>115</v>
      </c>
      <c r="P560" s="12">
        <v>165</v>
      </c>
      <c r="Q560" s="12">
        <v>10</v>
      </c>
      <c r="R560" s="13" t="s">
        <v>75</v>
      </c>
      <c r="S560" s="13" t="s">
        <v>76</v>
      </c>
      <c r="T560" s="15">
        <v>2000</v>
      </c>
      <c r="U560" s="13" t="s">
        <v>44</v>
      </c>
      <c r="V560" s="13" t="s">
        <v>59</v>
      </c>
      <c r="W560" s="12">
        <v>10</v>
      </c>
      <c r="X560" s="33" t="str">
        <f>HYPERLINK("https://www.alpinabook.ru/catalog/book-na-emotsiyakh","ссылка на книгу")</f>
        <v>ссылка на книгу</v>
      </c>
      <c r="Y560" s="34" t="str">
        <f>HYPERLINK("https://api-enni.alpina.ru/FilePrivilegesApproval/156","https://api-enni.alpina.ru/FilePrivilegesApproval/156")</f>
        <v>https://api-enni.alpina.ru/FilePrivilegesApproval/156</v>
      </c>
      <c r="Z560" s="13"/>
      <c r="AT560" s="1">
        <f t="shared" si="65"/>
        <v>0</v>
      </c>
      <c r="AU560" s="1">
        <f t="shared" si="66"/>
        <v>0</v>
      </c>
      <c r="AV560" s="1">
        <f t="shared" si="67"/>
        <v>0</v>
      </c>
      <c r="AW560" s="1">
        <f t="shared" si="68"/>
        <v>0</v>
      </c>
      <c r="AX560" s="1">
        <f t="shared" si="69"/>
        <v>0</v>
      </c>
    </row>
    <row r="561" spans="1:50" s="1" customFormat="1" ht="24.95" customHeight="1" outlineLevel="3" x14ac:dyDescent="0.2">
      <c r="A561" s="11"/>
      <c r="B561" s="12">
        <v>290</v>
      </c>
      <c r="C561" s="12">
        <v>440</v>
      </c>
      <c r="D561" s="12">
        <v>11395</v>
      </c>
      <c r="E561" s="13" t="s">
        <v>1839</v>
      </c>
      <c r="F561" s="13" t="s">
        <v>1840</v>
      </c>
      <c r="G561" s="13" t="s">
        <v>56</v>
      </c>
      <c r="H561" s="13" t="s">
        <v>40</v>
      </c>
      <c r="I561" s="12">
        <v>2024</v>
      </c>
      <c r="J561" s="13" t="s">
        <v>1841</v>
      </c>
      <c r="K561" s="12">
        <v>9785961413687</v>
      </c>
      <c r="L561" s="13" t="s">
        <v>1842</v>
      </c>
      <c r="M561" s="12">
        <v>346</v>
      </c>
      <c r="N561" s="14">
        <v>0.23</v>
      </c>
      <c r="O561" s="12">
        <v>115</v>
      </c>
      <c r="P561" s="12">
        <v>165</v>
      </c>
      <c r="Q561" s="12">
        <v>16</v>
      </c>
      <c r="R561" s="13" t="s">
        <v>75</v>
      </c>
      <c r="S561" s="13" t="s">
        <v>76</v>
      </c>
      <c r="T561" s="15">
        <v>2000</v>
      </c>
      <c r="U561" s="13" t="s">
        <v>44</v>
      </c>
      <c r="V561" s="13" t="s">
        <v>64</v>
      </c>
      <c r="W561" s="12">
        <v>10</v>
      </c>
      <c r="X561" s="33" t="str">
        <f>HYPERLINK("https://www.alpinabook.ru/catalog/book-odna-i-schastliva","ссылка на книгу")</f>
        <v>ссылка на книгу</v>
      </c>
      <c r="Y561" s="34" t="str">
        <f>HYPERLINK("https://api-enni.alpina.ru/FilePrivilegesApproval/156","https://api-enni.alpina.ru/FilePrivilegesApproval/156")</f>
        <v>https://api-enni.alpina.ru/FilePrivilegesApproval/156</v>
      </c>
      <c r="Z561" s="13"/>
      <c r="AT561" s="1">
        <f t="shared" si="65"/>
        <v>0</v>
      </c>
      <c r="AU561" s="1">
        <f t="shared" si="66"/>
        <v>0</v>
      </c>
      <c r="AV561" s="1">
        <f t="shared" si="67"/>
        <v>0</v>
      </c>
      <c r="AW561" s="1">
        <f t="shared" si="68"/>
        <v>0</v>
      </c>
      <c r="AX561" s="1">
        <f t="shared" si="69"/>
        <v>0</v>
      </c>
    </row>
    <row r="562" spans="1:50" s="1" customFormat="1" ht="24.95" customHeight="1" outlineLevel="3" x14ac:dyDescent="0.2">
      <c r="A562" s="11"/>
      <c r="B562" s="12">
        <v>290</v>
      </c>
      <c r="C562" s="12">
        <v>440</v>
      </c>
      <c r="D562" s="12">
        <v>12090</v>
      </c>
      <c r="E562" s="13" t="s">
        <v>1818</v>
      </c>
      <c r="F562" s="13" t="s">
        <v>1843</v>
      </c>
      <c r="G562" s="13" t="s">
        <v>56</v>
      </c>
      <c r="H562" s="13" t="s">
        <v>40</v>
      </c>
      <c r="I562" s="12">
        <v>2025</v>
      </c>
      <c r="J562" s="13" t="s">
        <v>1844</v>
      </c>
      <c r="K562" s="12">
        <v>9785961422870</v>
      </c>
      <c r="L562" s="13" t="s">
        <v>1845</v>
      </c>
      <c r="M562" s="12">
        <v>343</v>
      </c>
      <c r="N562" s="14">
        <v>0.23</v>
      </c>
      <c r="O562" s="12">
        <v>120</v>
      </c>
      <c r="P562" s="12">
        <v>170</v>
      </c>
      <c r="Q562" s="12">
        <v>32</v>
      </c>
      <c r="R562" s="13" t="s">
        <v>75</v>
      </c>
      <c r="S562" s="13" t="s">
        <v>76</v>
      </c>
      <c r="T562" s="15">
        <v>2000</v>
      </c>
      <c r="U562" s="13" t="s">
        <v>44</v>
      </c>
      <c r="V562" s="13" t="s">
        <v>64</v>
      </c>
      <c r="W562" s="12">
        <v>10</v>
      </c>
      <c r="X562" s="33" t="str">
        <f>HYPERLINK("https://www.alpinabook.ru/catalog/book-perelomnyy-moment","ссылка на книгу")</f>
        <v>ссылка на книгу</v>
      </c>
      <c r="Y562" s="34" t="str">
        <f>HYPERLINK("https://api-enni.alpina.ru/FilePrivilegesApproval/140","https://api-enni.alpina.ru/FilePrivilegesApproval/140")</f>
        <v>https://api-enni.alpina.ru/FilePrivilegesApproval/140</v>
      </c>
      <c r="Z562" s="13"/>
      <c r="AT562" s="1">
        <f t="shared" si="65"/>
        <v>0</v>
      </c>
      <c r="AU562" s="1">
        <f t="shared" si="66"/>
        <v>0</v>
      </c>
      <c r="AV562" s="1">
        <f t="shared" si="67"/>
        <v>0</v>
      </c>
      <c r="AW562" s="1">
        <f t="shared" si="68"/>
        <v>0</v>
      </c>
      <c r="AX562" s="1">
        <f t="shared" si="69"/>
        <v>0</v>
      </c>
    </row>
    <row r="563" spans="1:50" s="1" customFormat="1" ht="24.95" customHeight="1" outlineLevel="3" x14ac:dyDescent="0.2">
      <c r="A563" s="11"/>
      <c r="B563" s="12">
        <v>290</v>
      </c>
      <c r="C563" s="12">
        <v>440</v>
      </c>
      <c r="D563" s="12">
        <v>19121</v>
      </c>
      <c r="E563" s="13" t="s">
        <v>1846</v>
      </c>
      <c r="F563" s="13" t="s">
        <v>1847</v>
      </c>
      <c r="G563" s="13" t="s">
        <v>56</v>
      </c>
      <c r="H563" s="13" t="s">
        <v>40</v>
      </c>
      <c r="I563" s="12">
        <v>2024</v>
      </c>
      <c r="J563" s="13" t="s">
        <v>1848</v>
      </c>
      <c r="K563" s="12">
        <v>9785961438512</v>
      </c>
      <c r="L563" s="13" t="s">
        <v>1849</v>
      </c>
      <c r="M563" s="12">
        <v>330</v>
      </c>
      <c r="N563" s="14">
        <v>0.23</v>
      </c>
      <c r="O563" s="12">
        <v>115</v>
      </c>
      <c r="P563" s="12">
        <v>165</v>
      </c>
      <c r="Q563" s="12">
        <v>8</v>
      </c>
      <c r="R563" s="13" t="s">
        <v>75</v>
      </c>
      <c r="S563" s="13" t="s">
        <v>76</v>
      </c>
      <c r="T563" s="15">
        <v>10000</v>
      </c>
      <c r="U563" s="13" t="s">
        <v>44</v>
      </c>
      <c r="V563" s="13" t="s">
        <v>64</v>
      </c>
      <c r="W563" s="12">
        <v>10</v>
      </c>
      <c r="X563" s="33" t="str">
        <f>HYPERLINK("https://www.alpinabook.ru/catalog/book-pokhvalite-menya","ссылка на книгу")</f>
        <v>ссылка на книгу</v>
      </c>
      <c r="Y563" s="34" t="str">
        <f>HYPERLINK("https://api-enni.alpina.ru/FilePrivilegesApproval/158","https://api-enni.alpina.ru/FilePrivilegesApproval/158")</f>
        <v>https://api-enni.alpina.ru/FilePrivilegesApproval/158</v>
      </c>
      <c r="Z563" s="13"/>
      <c r="AT563" s="1">
        <f t="shared" si="65"/>
        <v>0</v>
      </c>
      <c r="AU563" s="1">
        <f t="shared" si="66"/>
        <v>0</v>
      </c>
      <c r="AV563" s="1">
        <f t="shared" si="67"/>
        <v>0</v>
      </c>
      <c r="AW563" s="1">
        <f t="shared" si="68"/>
        <v>0</v>
      </c>
      <c r="AX563" s="1">
        <f t="shared" si="69"/>
        <v>0</v>
      </c>
    </row>
    <row r="564" spans="1:50" s="1" customFormat="1" ht="24.95" customHeight="1" outlineLevel="3" x14ac:dyDescent="0.2">
      <c r="A564" s="26"/>
      <c r="B564" s="27">
        <v>290</v>
      </c>
      <c r="C564" s="27">
        <v>440</v>
      </c>
      <c r="D564" s="27">
        <v>27590</v>
      </c>
      <c r="E564" s="29" t="s">
        <v>1525</v>
      </c>
      <c r="F564" s="29" t="s">
        <v>1850</v>
      </c>
      <c r="G564" s="29" t="s">
        <v>56</v>
      </c>
      <c r="H564" s="29"/>
      <c r="I564" s="27">
        <v>2023</v>
      </c>
      <c r="J564" s="29" t="s">
        <v>1851</v>
      </c>
      <c r="K564" s="27">
        <v>9785961485790</v>
      </c>
      <c r="L564" s="29" t="s">
        <v>1852</v>
      </c>
      <c r="M564" s="27">
        <v>382</v>
      </c>
      <c r="N564" s="30">
        <v>0.25</v>
      </c>
      <c r="O564" s="27">
        <v>120</v>
      </c>
      <c r="P564" s="27">
        <v>170</v>
      </c>
      <c r="Q564" s="27">
        <v>10</v>
      </c>
      <c r="R564" s="29" t="s">
        <v>75</v>
      </c>
      <c r="S564" s="29" t="s">
        <v>76</v>
      </c>
      <c r="T564" s="28">
        <v>4000</v>
      </c>
      <c r="U564" s="29" t="s">
        <v>44</v>
      </c>
      <c r="V564" s="29" t="s">
        <v>89</v>
      </c>
      <c r="W564" s="27">
        <v>10</v>
      </c>
      <c r="X564" s="37" t="str">
        <f>HYPERLINK("https://www.alpinabook.ru/catalog/book-retsept-schastya","ссылка на книгу")</f>
        <v>ссылка на книгу</v>
      </c>
      <c r="Y564" s="38" t="str">
        <f>HYPERLINK("https://api-enni.alpina.ru/FilePrivilegesApproval/34","https://api-enni.alpina.ru/FilePrivilegesApproval/34")</f>
        <v>https://api-enni.alpina.ru/FilePrivilegesApproval/34</v>
      </c>
      <c r="Z564" s="29"/>
      <c r="AT564" s="1">
        <f t="shared" si="65"/>
        <v>0</v>
      </c>
      <c r="AU564" s="1">
        <f t="shared" si="66"/>
        <v>0</v>
      </c>
      <c r="AV564" s="1">
        <f t="shared" si="67"/>
        <v>0</v>
      </c>
      <c r="AW564" s="1">
        <f t="shared" si="68"/>
        <v>0</v>
      </c>
      <c r="AX564" s="1">
        <f t="shared" si="69"/>
        <v>0</v>
      </c>
    </row>
    <row r="565" spans="1:50" s="1" customFormat="1" ht="24.95" customHeight="1" outlineLevel="3" x14ac:dyDescent="0.2">
      <c r="A565" s="11"/>
      <c r="B565" s="12">
        <v>290</v>
      </c>
      <c r="C565" s="12">
        <v>290</v>
      </c>
      <c r="D565" s="12">
        <v>9039</v>
      </c>
      <c r="E565" s="13" t="s">
        <v>291</v>
      </c>
      <c r="F565" s="13" t="s">
        <v>1853</v>
      </c>
      <c r="G565" s="13" t="s">
        <v>56</v>
      </c>
      <c r="H565" s="13" t="s">
        <v>40</v>
      </c>
      <c r="I565" s="12">
        <v>2024</v>
      </c>
      <c r="J565" s="13" t="s">
        <v>1854</v>
      </c>
      <c r="K565" s="12">
        <v>9785961471205</v>
      </c>
      <c r="L565" s="13" t="s">
        <v>1855</v>
      </c>
      <c r="M565" s="12">
        <v>272</v>
      </c>
      <c r="N565" s="14">
        <v>0.18</v>
      </c>
      <c r="O565" s="12">
        <v>120</v>
      </c>
      <c r="P565" s="12">
        <v>170</v>
      </c>
      <c r="Q565" s="12">
        <v>20</v>
      </c>
      <c r="R565" s="13" t="s">
        <v>75</v>
      </c>
      <c r="S565" s="13" t="s">
        <v>76</v>
      </c>
      <c r="T565" s="15">
        <v>2000</v>
      </c>
      <c r="U565" s="13" t="s">
        <v>44</v>
      </c>
      <c r="V565" s="13" t="s">
        <v>64</v>
      </c>
      <c r="W565" s="12">
        <v>10</v>
      </c>
      <c r="X565" s="33" t="str">
        <f>HYPERLINK("https://www.alpinabook.ru/catalog/book-romanticheskiy-manifest","ссылка на книгу")</f>
        <v>ссылка на книгу</v>
      </c>
      <c r="Y565" s="34" t="str">
        <f>HYPERLINK("https://api-enni.alpina.ru/FilePrivilegesApproval/2","https://api-enni.alpina.ru/FilePrivilegesApproval/2")</f>
        <v>https://api-enni.alpina.ru/FilePrivilegesApproval/2</v>
      </c>
      <c r="Z565" s="13"/>
      <c r="AT565" s="1">
        <f t="shared" si="65"/>
        <v>0</v>
      </c>
      <c r="AU565" s="1">
        <f t="shared" si="66"/>
        <v>0</v>
      </c>
      <c r="AV565" s="1">
        <f t="shared" si="67"/>
        <v>0</v>
      </c>
      <c r="AW565" s="1">
        <f t="shared" si="68"/>
        <v>0</v>
      </c>
      <c r="AX565" s="1">
        <f t="shared" si="69"/>
        <v>0</v>
      </c>
    </row>
    <row r="566" spans="1:50" s="1" customFormat="1" ht="24.95" customHeight="1" outlineLevel="3" x14ac:dyDescent="0.2">
      <c r="A566" s="11"/>
      <c r="B566" s="12">
        <v>340</v>
      </c>
      <c r="C566" s="12">
        <v>540</v>
      </c>
      <c r="D566" s="12">
        <v>11211</v>
      </c>
      <c r="E566" s="13" t="s">
        <v>1856</v>
      </c>
      <c r="F566" s="13" t="s">
        <v>1857</v>
      </c>
      <c r="G566" s="13" t="s">
        <v>56</v>
      </c>
      <c r="H566" s="13" t="s">
        <v>40</v>
      </c>
      <c r="I566" s="12">
        <v>2025</v>
      </c>
      <c r="J566" s="13" t="s">
        <v>1858</v>
      </c>
      <c r="K566" s="12">
        <v>9785961415339</v>
      </c>
      <c r="L566" s="13" t="s">
        <v>1859</v>
      </c>
      <c r="M566" s="12">
        <v>440</v>
      </c>
      <c r="N566" s="14">
        <v>0.28999999999999998</v>
      </c>
      <c r="O566" s="12">
        <v>115</v>
      </c>
      <c r="P566" s="12">
        <v>165</v>
      </c>
      <c r="Q566" s="12">
        <v>12</v>
      </c>
      <c r="R566" s="13" t="s">
        <v>75</v>
      </c>
      <c r="S566" s="13" t="s">
        <v>76</v>
      </c>
      <c r="T566" s="15">
        <v>2000</v>
      </c>
      <c r="U566" s="13" t="s">
        <v>44</v>
      </c>
      <c r="V566" s="13" t="s">
        <v>45</v>
      </c>
      <c r="W566" s="12">
        <v>10</v>
      </c>
      <c r="X566" s="33" t="str">
        <f>HYPERLINK("https://www.alpinabook.ru/catalog/book-seks-dengi-schaste-i-smert","ссылка на книгу")</f>
        <v>ссылка на книгу</v>
      </c>
      <c r="Y566" s="34" t="str">
        <f>HYPERLINK("https://api-enni.alpina.ru/FilePrivilegesApproval/2","https://api-enni.alpina.ru/FilePrivilegesApproval/2")</f>
        <v>https://api-enni.alpina.ru/FilePrivilegesApproval/2</v>
      </c>
      <c r="Z566" s="13"/>
      <c r="AT566" s="1">
        <f t="shared" si="65"/>
        <v>0</v>
      </c>
      <c r="AU566" s="1">
        <f t="shared" si="66"/>
        <v>0</v>
      </c>
      <c r="AV566" s="1">
        <f t="shared" si="67"/>
        <v>0</v>
      </c>
      <c r="AW566" s="1">
        <f t="shared" si="68"/>
        <v>0</v>
      </c>
      <c r="AX566" s="1">
        <f t="shared" si="69"/>
        <v>0</v>
      </c>
    </row>
    <row r="567" spans="1:50" s="1" customFormat="1" ht="24.95" customHeight="1" outlineLevel="3" x14ac:dyDescent="0.2">
      <c r="A567" s="11"/>
      <c r="B567" s="12">
        <v>290</v>
      </c>
      <c r="C567" s="12">
        <v>440</v>
      </c>
      <c r="D567" s="12">
        <v>8616</v>
      </c>
      <c r="E567" s="13" t="s">
        <v>1818</v>
      </c>
      <c r="F567" s="13" t="s">
        <v>1860</v>
      </c>
      <c r="G567" s="13" t="s">
        <v>56</v>
      </c>
      <c r="H567" s="13" t="s">
        <v>40</v>
      </c>
      <c r="I567" s="12">
        <v>2024</v>
      </c>
      <c r="J567" s="13" t="s">
        <v>1861</v>
      </c>
      <c r="K567" s="12">
        <v>9785961468946</v>
      </c>
      <c r="L567" s="13" t="s">
        <v>1862</v>
      </c>
      <c r="M567" s="12">
        <v>320</v>
      </c>
      <c r="N567" s="14">
        <v>0.21</v>
      </c>
      <c r="O567" s="12">
        <v>115</v>
      </c>
      <c r="P567" s="12">
        <v>165</v>
      </c>
      <c r="Q567" s="12">
        <v>8</v>
      </c>
      <c r="R567" s="13" t="s">
        <v>75</v>
      </c>
      <c r="S567" s="13" t="s">
        <v>76</v>
      </c>
      <c r="T567" s="15">
        <v>4000</v>
      </c>
      <c r="U567" s="13" t="s">
        <v>44</v>
      </c>
      <c r="V567" s="13" t="s">
        <v>64</v>
      </c>
      <c r="W567" s="12">
        <v>10</v>
      </c>
      <c r="X567" s="33" t="str">
        <f>HYPERLINK("https://www.alpinabook.ru/catalog/book-sila-mgnovennykh-resheniy","ссылка на книгу")</f>
        <v>ссылка на книгу</v>
      </c>
      <c r="Y567" s="34" t="str">
        <f>HYPERLINK("https://api-enni.alpina.ru/FilePrivilegesApproval/152","https://api-enni.alpina.ru/FilePrivilegesApproval/152")</f>
        <v>https://api-enni.alpina.ru/FilePrivilegesApproval/152</v>
      </c>
      <c r="Z567" s="13"/>
      <c r="AT567" s="1">
        <f t="shared" si="65"/>
        <v>0</v>
      </c>
      <c r="AU567" s="1">
        <f t="shared" si="66"/>
        <v>0</v>
      </c>
      <c r="AV567" s="1">
        <f t="shared" si="67"/>
        <v>0</v>
      </c>
      <c r="AW567" s="1">
        <f t="shared" si="68"/>
        <v>0</v>
      </c>
      <c r="AX567" s="1">
        <f t="shared" si="69"/>
        <v>0</v>
      </c>
    </row>
    <row r="568" spans="1:50" s="1" customFormat="1" ht="24.95" customHeight="1" outlineLevel="3" x14ac:dyDescent="0.2">
      <c r="A568" s="11"/>
      <c r="B568" s="12">
        <v>540</v>
      </c>
      <c r="C568" s="12">
        <v>840</v>
      </c>
      <c r="D568" s="12">
        <v>5926</v>
      </c>
      <c r="E568" s="13" t="s">
        <v>723</v>
      </c>
      <c r="F568" s="13" t="s">
        <v>724</v>
      </c>
      <c r="G568" s="13" t="s">
        <v>56</v>
      </c>
      <c r="H568" s="13" t="s">
        <v>40</v>
      </c>
      <c r="I568" s="12">
        <v>2025</v>
      </c>
      <c r="J568" s="13" t="s">
        <v>725</v>
      </c>
      <c r="K568" s="12">
        <v>9785961460582</v>
      </c>
      <c r="L568" s="13" t="s">
        <v>726</v>
      </c>
      <c r="M568" s="12">
        <v>320</v>
      </c>
      <c r="N568" s="14">
        <v>0.5</v>
      </c>
      <c r="O568" s="12">
        <v>146</v>
      </c>
      <c r="P568" s="12">
        <v>216</v>
      </c>
      <c r="Q568" s="12">
        <v>6</v>
      </c>
      <c r="R568" s="13" t="s">
        <v>43</v>
      </c>
      <c r="S568" s="13"/>
      <c r="T568" s="15">
        <v>1000</v>
      </c>
      <c r="U568" s="13" t="s">
        <v>52</v>
      </c>
      <c r="V568" s="13" t="s">
        <v>64</v>
      </c>
      <c r="W568" s="12">
        <v>10</v>
      </c>
      <c r="X568" s="33" t="str">
        <f>HYPERLINK("https://www.alpinabook.ru/catalog/book-sindrom-belki-v-kolese-sberbank","ссылка на книгу")</f>
        <v>ссылка на книгу</v>
      </c>
      <c r="Y568" s="34" t="str">
        <f>HYPERLINK("https://api-enni.alpina.ru/FilePrivilegesApproval/2","https://api-enni.alpina.ru/FilePrivilegesApproval/2")</f>
        <v>https://api-enni.alpina.ru/FilePrivilegesApproval/2</v>
      </c>
      <c r="Z568" s="13" t="s">
        <v>77</v>
      </c>
      <c r="AT568" s="1">
        <f t="shared" si="65"/>
        <v>0</v>
      </c>
      <c r="AU568" s="1">
        <f t="shared" si="66"/>
        <v>0</v>
      </c>
      <c r="AV568" s="1">
        <f t="shared" si="67"/>
        <v>0</v>
      </c>
      <c r="AW568" s="1">
        <f t="shared" si="68"/>
        <v>0</v>
      </c>
      <c r="AX568" s="1">
        <f t="shared" si="69"/>
        <v>0</v>
      </c>
    </row>
    <row r="569" spans="1:50" s="1" customFormat="1" ht="24.95" customHeight="1" outlineLevel="3" x14ac:dyDescent="0.2">
      <c r="A569" s="11"/>
      <c r="B569" s="12">
        <v>290</v>
      </c>
      <c r="C569" s="12">
        <v>440</v>
      </c>
      <c r="D569" s="12">
        <v>8596</v>
      </c>
      <c r="E569" s="13" t="s">
        <v>1863</v>
      </c>
      <c r="F569" s="13" t="s">
        <v>1864</v>
      </c>
      <c r="G569" s="13" t="s">
        <v>56</v>
      </c>
      <c r="H569" s="13" t="s">
        <v>40</v>
      </c>
      <c r="I569" s="12">
        <v>2024</v>
      </c>
      <c r="J569" s="13" t="s">
        <v>1865</v>
      </c>
      <c r="K569" s="12">
        <v>9785961468564</v>
      </c>
      <c r="L569" s="13" t="s">
        <v>1866</v>
      </c>
      <c r="M569" s="12">
        <v>432</v>
      </c>
      <c r="N569" s="14">
        <v>0.38</v>
      </c>
      <c r="O569" s="12">
        <v>120</v>
      </c>
      <c r="P569" s="12">
        <v>170</v>
      </c>
      <c r="Q569" s="12">
        <v>6</v>
      </c>
      <c r="R569" s="13" t="s">
        <v>75</v>
      </c>
      <c r="S569" s="13" t="s">
        <v>76</v>
      </c>
      <c r="T569" s="15">
        <v>5000</v>
      </c>
      <c r="U569" s="13" t="s">
        <v>44</v>
      </c>
      <c r="V569" s="13" t="s">
        <v>59</v>
      </c>
      <c r="W569" s="12">
        <v>10</v>
      </c>
      <c r="X569" s="33" t="str">
        <f>HYPERLINK("https://www.alpinabook.ru/catalog/book-spotykayas-o-schaste","ссылка на книгу")</f>
        <v>ссылка на книгу</v>
      </c>
      <c r="Y569" s="34" t="str">
        <f>HYPERLINK("https://api-enni.alpina.ru/FilePrivilegesApproval/141","https://api-enni.alpina.ru/FilePrivilegesApproval/141")</f>
        <v>https://api-enni.alpina.ru/FilePrivilegesApproval/141</v>
      </c>
      <c r="Z569" s="13"/>
      <c r="AT569" s="1">
        <f t="shared" si="65"/>
        <v>0</v>
      </c>
      <c r="AU569" s="1">
        <f t="shared" si="66"/>
        <v>0</v>
      </c>
      <c r="AV569" s="1">
        <f t="shared" si="67"/>
        <v>0</v>
      </c>
      <c r="AW569" s="1">
        <f t="shared" si="68"/>
        <v>0</v>
      </c>
      <c r="AX569" s="1">
        <f t="shared" si="69"/>
        <v>0</v>
      </c>
    </row>
    <row r="570" spans="1:50" s="1" customFormat="1" ht="24.95" customHeight="1" outlineLevel="3" x14ac:dyDescent="0.2">
      <c r="A570" s="11"/>
      <c r="B570" s="12">
        <v>340</v>
      </c>
      <c r="C570" s="12">
        <v>340</v>
      </c>
      <c r="D570" s="12">
        <v>11087</v>
      </c>
      <c r="E570" s="13" t="s">
        <v>1867</v>
      </c>
      <c r="F570" s="13" t="s">
        <v>1868</v>
      </c>
      <c r="G570" s="13" t="s">
        <v>56</v>
      </c>
      <c r="H570" s="13" t="s">
        <v>40</v>
      </c>
      <c r="I570" s="12">
        <v>2023</v>
      </c>
      <c r="J570" s="13" t="s">
        <v>1869</v>
      </c>
      <c r="K570" s="12">
        <v>9785961412086</v>
      </c>
      <c r="L570" s="13" t="s">
        <v>1870</v>
      </c>
      <c r="M570" s="12">
        <v>502</v>
      </c>
      <c r="N570" s="14">
        <v>0.32</v>
      </c>
      <c r="O570" s="12">
        <v>115</v>
      </c>
      <c r="P570" s="12">
        <v>165</v>
      </c>
      <c r="Q570" s="12">
        <v>10</v>
      </c>
      <c r="R570" s="13" t="s">
        <v>75</v>
      </c>
      <c r="S570" s="13" t="s">
        <v>76</v>
      </c>
      <c r="T570" s="15">
        <v>4000</v>
      </c>
      <c r="U570" s="13" t="s">
        <v>44</v>
      </c>
      <c r="V570" s="13" t="s">
        <v>45</v>
      </c>
      <c r="W570" s="12">
        <v>10</v>
      </c>
      <c r="X570" s="33" t="str">
        <f>HYPERLINK("https://www.alpinabook.ru/catalog/book-strategiya-semeynoy-zhizni","ссылка на книгу")</f>
        <v>ссылка на книгу</v>
      </c>
      <c r="Y570" s="34" t="str">
        <f>HYPERLINK("https://api-enni.alpina.ru/FilePrivilegesApproval/2","https://api-enni.alpina.ru/FilePrivilegesApproval/2")</f>
        <v>https://api-enni.alpina.ru/FilePrivilegesApproval/2</v>
      </c>
      <c r="Z570" s="13"/>
      <c r="AT570" s="1">
        <f t="shared" si="65"/>
        <v>0</v>
      </c>
      <c r="AU570" s="1">
        <f t="shared" si="66"/>
        <v>0</v>
      </c>
      <c r="AV570" s="1">
        <f t="shared" si="67"/>
        <v>0</v>
      </c>
      <c r="AW570" s="1">
        <f t="shared" si="68"/>
        <v>0</v>
      </c>
      <c r="AX570" s="1">
        <f t="shared" si="69"/>
        <v>0</v>
      </c>
    </row>
    <row r="571" spans="1:50" s="1" customFormat="1" ht="24.95" customHeight="1" outlineLevel="3" x14ac:dyDescent="0.2">
      <c r="A571" s="11"/>
      <c r="B571" s="12">
        <v>290</v>
      </c>
      <c r="C571" s="12">
        <v>440</v>
      </c>
      <c r="D571" s="12">
        <v>8746</v>
      </c>
      <c r="E571" s="13" t="s">
        <v>1871</v>
      </c>
      <c r="F571" s="13" t="s">
        <v>1872</v>
      </c>
      <c r="G571" s="13" t="s">
        <v>56</v>
      </c>
      <c r="H571" s="13" t="s">
        <v>40</v>
      </c>
      <c r="I571" s="12">
        <v>2023</v>
      </c>
      <c r="J571" s="13" t="s">
        <v>1873</v>
      </c>
      <c r="K571" s="12">
        <v>9785961470680</v>
      </c>
      <c r="L571" s="13" t="s">
        <v>1874</v>
      </c>
      <c r="M571" s="12">
        <v>336</v>
      </c>
      <c r="N571" s="14">
        <v>0.22</v>
      </c>
      <c r="O571" s="12">
        <v>120</v>
      </c>
      <c r="P571" s="12">
        <v>170</v>
      </c>
      <c r="Q571" s="12">
        <v>8</v>
      </c>
      <c r="R571" s="13" t="s">
        <v>75</v>
      </c>
      <c r="S571" s="13" t="s">
        <v>76</v>
      </c>
      <c r="T571" s="15">
        <v>5000</v>
      </c>
      <c r="U571" s="13" t="s">
        <v>44</v>
      </c>
      <c r="V571" s="13" t="s">
        <v>64</v>
      </c>
      <c r="W571" s="12">
        <v>10</v>
      </c>
      <c r="X571" s="33" t="str">
        <f>HYPERLINK("https://www.alpinabook.ru/catalog/book-uverennost-v-sebe","ссылка на книгу")</f>
        <v>ссылка на книгу</v>
      </c>
      <c r="Y571" s="34" t="str">
        <f>HYPERLINK("https://api-enni.alpina.ru/FilePrivilegesApproval/156","https://api-enni.alpina.ru/FilePrivilegesApproval/156")</f>
        <v>https://api-enni.alpina.ru/FilePrivilegesApproval/156</v>
      </c>
      <c r="Z571" s="13"/>
      <c r="AT571" s="1">
        <f t="shared" si="65"/>
        <v>0</v>
      </c>
      <c r="AU571" s="1">
        <f t="shared" si="66"/>
        <v>0</v>
      </c>
      <c r="AV571" s="1">
        <f t="shared" si="67"/>
        <v>0</v>
      </c>
      <c r="AW571" s="1">
        <f t="shared" si="68"/>
        <v>0</v>
      </c>
      <c r="AX571" s="1">
        <f t="shared" si="69"/>
        <v>0</v>
      </c>
    </row>
    <row r="572" spans="1:50" s="1" customFormat="1" ht="24.95" customHeight="1" outlineLevel="3" x14ac:dyDescent="0.2">
      <c r="A572" s="11"/>
      <c r="B572" s="12">
        <v>270</v>
      </c>
      <c r="C572" s="12">
        <v>390</v>
      </c>
      <c r="D572" s="12">
        <v>8743</v>
      </c>
      <c r="E572" s="13" t="s">
        <v>1875</v>
      </c>
      <c r="F572" s="13" t="s">
        <v>1876</v>
      </c>
      <c r="G572" s="13" t="s">
        <v>56</v>
      </c>
      <c r="H572" s="13" t="s">
        <v>40</v>
      </c>
      <c r="I572" s="12">
        <v>2024</v>
      </c>
      <c r="J572" s="13" t="s">
        <v>1877</v>
      </c>
      <c r="K572" s="12">
        <v>9785961470024</v>
      </c>
      <c r="L572" s="13" t="s">
        <v>1878</v>
      </c>
      <c r="M572" s="12">
        <v>288</v>
      </c>
      <c r="N572" s="14">
        <v>0.2</v>
      </c>
      <c r="O572" s="12">
        <v>115</v>
      </c>
      <c r="P572" s="12">
        <v>165</v>
      </c>
      <c r="Q572" s="12">
        <v>14</v>
      </c>
      <c r="R572" s="13" t="s">
        <v>75</v>
      </c>
      <c r="S572" s="13" t="s">
        <v>76</v>
      </c>
      <c r="T572" s="15">
        <v>2000</v>
      </c>
      <c r="U572" s="13" t="s">
        <v>44</v>
      </c>
      <c r="V572" s="13" t="s">
        <v>64</v>
      </c>
      <c r="W572" s="12">
        <v>10</v>
      </c>
      <c r="X572" s="33" t="str">
        <f>HYPERLINK("https://www.alpinabook.ru/catalog/book-khvatit-mechtat-zaymis-delom","ссылка на книгу")</f>
        <v>ссылка на книгу</v>
      </c>
      <c r="Y572" s="34" t="str">
        <f>HYPERLINK("https://api-enni.alpina.ru/FilePrivilegesApproval/2","https://api-enni.alpina.ru/FilePrivilegesApproval/2")</f>
        <v>https://api-enni.alpina.ru/FilePrivilegesApproval/2</v>
      </c>
      <c r="Z572" s="13"/>
      <c r="AT572" s="1">
        <f t="shared" si="65"/>
        <v>0</v>
      </c>
      <c r="AU572" s="1">
        <f t="shared" si="66"/>
        <v>0</v>
      </c>
      <c r="AV572" s="1">
        <f t="shared" si="67"/>
        <v>0</v>
      </c>
      <c r="AW572" s="1">
        <f t="shared" si="68"/>
        <v>0</v>
      </c>
      <c r="AX572" s="1">
        <f t="shared" si="69"/>
        <v>0</v>
      </c>
    </row>
    <row r="573" spans="1:50" s="1" customFormat="1" ht="24.95" customHeight="1" outlineLevel="3" x14ac:dyDescent="0.2">
      <c r="A573" s="11"/>
      <c r="B573" s="12">
        <v>290</v>
      </c>
      <c r="C573" s="12">
        <v>440</v>
      </c>
      <c r="D573" s="12">
        <v>8617</v>
      </c>
      <c r="E573" s="13" t="s">
        <v>802</v>
      </c>
      <c r="F573" s="13" t="s">
        <v>803</v>
      </c>
      <c r="G573" s="13" t="s">
        <v>56</v>
      </c>
      <c r="H573" s="13" t="s">
        <v>164</v>
      </c>
      <c r="I573" s="12">
        <v>2025</v>
      </c>
      <c r="J573" s="13" t="s">
        <v>804</v>
      </c>
      <c r="K573" s="12">
        <v>9785961468922</v>
      </c>
      <c r="L573" s="13" t="s">
        <v>805</v>
      </c>
      <c r="M573" s="12">
        <v>288</v>
      </c>
      <c r="N573" s="14">
        <v>0.19</v>
      </c>
      <c r="O573" s="12">
        <v>115</v>
      </c>
      <c r="P573" s="12">
        <v>165</v>
      </c>
      <c r="Q573" s="12">
        <v>10</v>
      </c>
      <c r="R573" s="13" t="s">
        <v>75</v>
      </c>
      <c r="S573" s="13" t="s">
        <v>76</v>
      </c>
      <c r="T573" s="15">
        <v>15000</v>
      </c>
      <c r="U573" s="13" t="s">
        <v>44</v>
      </c>
      <c r="V573" s="13" t="s">
        <v>64</v>
      </c>
      <c r="W573" s="12">
        <v>10</v>
      </c>
      <c r="X573" s="33" t="str">
        <f>HYPERLINK("https://www.alpinabook.ru/catalog/book-khoroshie-devochki","ссылка на книгу")</f>
        <v>ссылка на книгу</v>
      </c>
      <c r="Y573" s="34" t="str">
        <f>HYPERLINK("https://api-enni.alpina.ru/FilePrivilegesApproval/153","https://api-enni.alpina.ru/FilePrivilegesApproval/153")</f>
        <v>https://api-enni.alpina.ru/FilePrivilegesApproval/153</v>
      </c>
      <c r="Z573" s="13"/>
      <c r="AT573" s="1">
        <f t="shared" si="65"/>
        <v>0</v>
      </c>
      <c r="AU573" s="1">
        <f t="shared" si="66"/>
        <v>0</v>
      </c>
      <c r="AV573" s="1">
        <f t="shared" si="67"/>
        <v>0</v>
      </c>
      <c r="AW573" s="1">
        <f t="shared" si="68"/>
        <v>0</v>
      </c>
      <c r="AX573" s="1">
        <f t="shared" si="69"/>
        <v>0</v>
      </c>
    </row>
    <row r="574" spans="1:50" s="1" customFormat="1" ht="24.95" customHeight="1" outlineLevel="3" x14ac:dyDescent="0.2">
      <c r="A574" s="26"/>
      <c r="B574" s="27">
        <v>340</v>
      </c>
      <c r="C574" s="27">
        <v>540</v>
      </c>
      <c r="D574" s="27">
        <v>27015</v>
      </c>
      <c r="E574" s="29" t="s">
        <v>870</v>
      </c>
      <c r="F574" s="29" t="s">
        <v>1879</v>
      </c>
      <c r="G574" s="29" t="s">
        <v>56</v>
      </c>
      <c r="H574" s="29" t="s">
        <v>40</v>
      </c>
      <c r="I574" s="27">
        <v>2023</v>
      </c>
      <c r="J574" s="29" t="s">
        <v>1880</v>
      </c>
      <c r="K574" s="27">
        <v>9785961483727</v>
      </c>
      <c r="L574" s="29" t="s">
        <v>1881</v>
      </c>
      <c r="M574" s="27">
        <v>384</v>
      </c>
      <c r="N574" s="30">
        <v>0.24</v>
      </c>
      <c r="O574" s="27">
        <v>115</v>
      </c>
      <c r="P574" s="27">
        <v>165</v>
      </c>
      <c r="Q574" s="27">
        <v>14</v>
      </c>
      <c r="R574" s="29" t="s">
        <v>75</v>
      </c>
      <c r="S574" s="29" t="s">
        <v>76</v>
      </c>
      <c r="T574" s="28">
        <v>2000</v>
      </c>
      <c r="U574" s="29" t="s">
        <v>44</v>
      </c>
      <c r="V574" s="29" t="s">
        <v>45</v>
      </c>
      <c r="W574" s="27">
        <v>10</v>
      </c>
      <c r="X574" s="37" t="str">
        <f>HYPERLINK("https://www.alpinabook.ru/catalog/book-chestno-o-nechestnosti","ссылка на книгу")</f>
        <v>ссылка на книгу</v>
      </c>
      <c r="Y574" s="38" t="str">
        <f>HYPERLINK("https://api-enni.alpina.ru/FilePrivilegesApproval/172","https://api-enni.alpina.ru/FilePrivilegesApproval/172")</f>
        <v>https://api-enni.alpina.ru/FilePrivilegesApproval/172</v>
      </c>
      <c r="Z574" s="29"/>
      <c r="AT574" s="1">
        <f t="shared" si="65"/>
        <v>0</v>
      </c>
      <c r="AU574" s="1">
        <f t="shared" si="66"/>
        <v>0</v>
      </c>
      <c r="AV574" s="1">
        <f t="shared" si="67"/>
        <v>0</v>
      </c>
      <c r="AW574" s="1">
        <f t="shared" si="68"/>
        <v>0</v>
      </c>
      <c r="AX574" s="1">
        <f t="shared" si="69"/>
        <v>0</v>
      </c>
    </row>
    <row r="575" spans="1:50" s="1" customFormat="1" ht="24.95" customHeight="1" outlineLevel="3" x14ac:dyDescent="0.2">
      <c r="A575" s="11"/>
      <c r="B575" s="12">
        <v>290</v>
      </c>
      <c r="C575" s="12">
        <v>440</v>
      </c>
      <c r="D575" s="12">
        <v>12096</v>
      </c>
      <c r="E575" s="13" t="s">
        <v>1818</v>
      </c>
      <c r="F575" s="13" t="s">
        <v>1882</v>
      </c>
      <c r="G575" s="13" t="s">
        <v>56</v>
      </c>
      <c r="H575" s="13" t="s">
        <v>40</v>
      </c>
      <c r="I575" s="12">
        <v>2023</v>
      </c>
      <c r="J575" s="13" t="s">
        <v>1883</v>
      </c>
      <c r="K575" s="12">
        <v>9785961423860</v>
      </c>
      <c r="L575" s="13" t="s">
        <v>1884</v>
      </c>
      <c r="M575" s="12">
        <v>519</v>
      </c>
      <c r="N575" s="14">
        <v>0.35</v>
      </c>
      <c r="O575" s="12">
        <v>115</v>
      </c>
      <c r="P575" s="12">
        <v>165</v>
      </c>
      <c r="Q575" s="12">
        <v>10</v>
      </c>
      <c r="R575" s="13" t="s">
        <v>75</v>
      </c>
      <c r="S575" s="13" t="s">
        <v>76</v>
      </c>
      <c r="T575" s="15">
        <v>2000</v>
      </c>
      <c r="U575" s="13" t="s">
        <v>44</v>
      </c>
      <c r="V575" s="13" t="s">
        <v>45</v>
      </c>
      <c r="W575" s="12">
        <v>10</v>
      </c>
      <c r="X575" s="33" t="str">
        <f>HYPERLINK("https://www.alpinabook.ru/catalog/book-chto-videla-sobaka","ссылка на книгу")</f>
        <v>ссылка на книгу</v>
      </c>
      <c r="Y575" s="34" t="str">
        <f>HYPERLINK("https://api-enni.alpina.ru/FilePrivilegesApproval/141","https://api-enni.alpina.ru/FilePrivilegesApproval/141")</f>
        <v>https://api-enni.alpina.ru/FilePrivilegesApproval/141</v>
      </c>
      <c r="Z575" s="13"/>
      <c r="AT575" s="1">
        <f t="shared" si="65"/>
        <v>0</v>
      </c>
      <c r="AU575" s="1">
        <f t="shared" si="66"/>
        <v>0</v>
      </c>
      <c r="AV575" s="1">
        <f t="shared" si="67"/>
        <v>0</v>
      </c>
      <c r="AW575" s="1">
        <f t="shared" si="68"/>
        <v>0</v>
      </c>
      <c r="AX575" s="1">
        <f t="shared" si="69"/>
        <v>0</v>
      </c>
    </row>
    <row r="576" spans="1:50" ht="11.1" customHeight="1" outlineLevel="2" x14ac:dyDescent="0.2">
      <c r="A576" s="40" t="s">
        <v>1885</v>
      </c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20"/>
    </row>
    <row r="577" spans="1:50" s="1" customFormat="1" ht="24.95" customHeight="1" outlineLevel="3" x14ac:dyDescent="0.2">
      <c r="A577" s="11"/>
      <c r="B577" s="12">
        <v>690</v>
      </c>
      <c r="C577" s="12">
        <v>990</v>
      </c>
      <c r="D577" s="12">
        <v>4252</v>
      </c>
      <c r="E577" s="13" t="s">
        <v>827</v>
      </c>
      <c r="F577" s="13" t="s">
        <v>1886</v>
      </c>
      <c r="G577" s="13" t="s">
        <v>56</v>
      </c>
      <c r="H577" s="13"/>
      <c r="I577" s="12">
        <v>2024</v>
      </c>
      <c r="J577" s="13" t="s">
        <v>1887</v>
      </c>
      <c r="K577" s="12">
        <v>9785961466492</v>
      </c>
      <c r="L577" s="13" t="s">
        <v>1888</v>
      </c>
      <c r="M577" s="12">
        <v>168</v>
      </c>
      <c r="N577" s="14">
        <v>0.41</v>
      </c>
      <c r="O577" s="12">
        <v>240</v>
      </c>
      <c r="P577" s="12">
        <v>190</v>
      </c>
      <c r="Q577" s="12">
        <v>10</v>
      </c>
      <c r="R577" s="13" t="s">
        <v>300</v>
      </c>
      <c r="S577" s="13"/>
      <c r="T577" s="15">
        <v>2000</v>
      </c>
      <c r="U577" s="13" t="s">
        <v>44</v>
      </c>
      <c r="V577" s="13" t="s">
        <v>64</v>
      </c>
      <c r="W577" s="12">
        <v>10</v>
      </c>
      <c r="X577" s="33" t="str">
        <f>HYPERLINK("https://www.alpinabook.ru/catalog/book-argumentiruy-eto","ссылка на книгу")</f>
        <v>ссылка на книгу</v>
      </c>
      <c r="Y577" s="34" t="str">
        <f>HYPERLINK("https://api-enni.alpina.ru/FilePrivilegesApproval/2","https://api-enni.alpina.ru/FilePrivilegesApproval/2")</f>
        <v>https://api-enni.alpina.ru/FilePrivilegesApproval/2</v>
      </c>
      <c r="Z577" s="13"/>
      <c r="AT577" s="1">
        <f t="shared" ref="AT577:AT592" si="70">IF($A577&lt;&gt;0,1,0)</f>
        <v>0</v>
      </c>
      <c r="AU577" s="1">
        <f t="shared" ref="AU577:AU592" si="71">$A577*$B577</f>
        <v>0</v>
      </c>
      <c r="AV577" s="1">
        <f t="shared" ref="AV577:AV592" si="72">$A577*$N577</f>
        <v>0</v>
      </c>
      <c r="AW577" s="1">
        <f t="shared" ref="AW577:AW592" si="73">IF($Q577=0,0,INT($A577/$Q577))</f>
        <v>0</v>
      </c>
      <c r="AX577" s="1">
        <f t="shared" ref="AX577:AX592" si="74">$A577-$AW577*$Q577</f>
        <v>0</v>
      </c>
    </row>
    <row r="578" spans="1:50" s="1" customFormat="1" ht="24.95" customHeight="1" outlineLevel="3" x14ac:dyDescent="0.2">
      <c r="A578" s="11"/>
      <c r="B578" s="12">
        <v>640</v>
      </c>
      <c r="C578" s="12">
        <v>790</v>
      </c>
      <c r="D578" s="12">
        <v>32476</v>
      </c>
      <c r="E578" s="13" t="s">
        <v>1889</v>
      </c>
      <c r="F578" s="13" t="s">
        <v>1890</v>
      </c>
      <c r="G578" s="13" t="s">
        <v>56</v>
      </c>
      <c r="H578" s="13"/>
      <c r="I578" s="12">
        <v>2025</v>
      </c>
      <c r="J578" s="13" t="s">
        <v>1891</v>
      </c>
      <c r="K578" s="12">
        <v>9785006302327</v>
      </c>
      <c r="L578" s="13" t="s">
        <v>1892</v>
      </c>
      <c r="M578" s="12">
        <v>204</v>
      </c>
      <c r="N578" s="14">
        <v>0.47</v>
      </c>
      <c r="O578" s="12">
        <v>170</v>
      </c>
      <c r="P578" s="12">
        <v>240</v>
      </c>
      <c r="Q578" s="12">
        <v>6</v>
      </c>
      <c r="R578" s="13" t="s">
        <v>94</v>
      </c>
      <c r="S578" s="13"/>
      <c r="T578" s="15">
        <v>1000</v>
      </c>
      <c r="U578" s="13" t="s">
        <v>52</v>
      </c>
      <c r="V578" s="13" t="s">
        <v>45</v>
      </c>
      <c r="W578" s="12">
        <v>10</v>
      </c>
      <c r="X578" s="33" t="str">
        <f>HYPERLINK("https://www.alpinabook.ru/catalog/book-autentichnaya-kommunikatsiya","ссылка на книгу")</f>
        <v>ссылка на книгу</v>
      </c>
      <c r="Y578" s="34" t="str">
        <f>HYPERLINK("https://api-enni.alpina.ru/FilePrivilegesApproval/156","https://api-enni.alpina.ru/FilePrivilegesApproval/156")</f>
        <v>https://api-enni.alpina.ru/FilePrivilegesApproval/156</v>
      </c>
      <c r="Z578" s="13" t="s">
        <v>847</v>
      </c>
      <c r="AT578" s="1">
        <f t="shared" si="70"/>
        <v>0</v>
      </c>
      <c r="AU578" s="1">
        <f t="shared" si="71"/>
        <v>0</v>
      </c>
      <c r="AV578" s="1">
        <f t="shared" si="72"/>
        <v>0</v>
      </c>
      <c r="AW578" s="1">
        <f t="shared" si="73"/>
        <v>0</v>
      </c>
      <c r="AX578" s="1">
        <f t="shared" si="74"/>
        <v>0</v>
      </c>
    </row>
    <row r="579" spans="1:50" s="1" customFormat="1" ht="24.95" customHeight="1" outlineLevel="3" x14ac:dyDescent="0.2">
      <c r="A579" s="26"/>
      <c r="B579" s="27">
        <v>530</v>
      </c>
      <c r="C579" s="27">
        <v>530</v>
      </c>
      <c r="D579" s="27">
        <v>26313</v>
      </c>
      <c r="E579" s="29" t="s">
        <v>304</v>
      </c>
      <c r="F579" s="29" t="s">
        <v>1893</v>
      </c>
      <c r="G579" s="29" t="s">
        <v>56</v>
      </c>
      <c r="H579" s="29"/>
      <c r="I579" s="27">
        <v>2022</v>
      </c>
      <c r="J579" s="29" t="s">
        <v>1894</v>
      </c>
      <c r="K579" s="27">
        <v>9785961481211</v>
      </c>
      <c r="L579" s="29" t="s">
        <v>1895</v>
      </c>
      <c r="M579" s="27">
        <v>192</v>
      </c>
      <c r="N579" s="30">
        <v>0.25</v>
      </c>
      <c r="O579" s="27">
        <v>148</v>
      </c>
      <c r="P579" s="27">
        <v>210</v>
      </c>
      <c r="Q579" s="27">
        <v>24</v>
      </c>
      <c r="R579" s="29" t="s">
        <v>43</v>
      </c>
      <c r="S579" s="29" t="s">
        <v>248</v>
      </c>
      <c r="T579" s="28">
        <v>1000</v>
      </c>
      <c r="U579" s="29" t="s">
        <v>44</v>
      </c>
      <c r="V579" s="29" t="s">
        <v>64</v>
      </c>
      <c r="W579" s="27">
        <v>10</v>
      </c>
      <c r="X579" s="37" t="str">
        <f>HYPERLINK("https://www.alpinabook.ru/catalog/book-bez-vody","ссылка на книгу")</f>
        <v>ссылка на книгу</v>
      </c>
      <c r="Y579" s="38" t="str">
        <f>HYPERLINK("https://api-enni.alpina.ru/FilePrivilegesApproval/156","https://api-enni.alpina.ru/FilePrivilegesApproval/156")</f>
        <v>https://api-enni.alpina.ru/FilePrivilegesApproval/156</v>
      </c>
      <c r="Z579" s="29"/>
      <c r="AT579" s="1">
        <f t="shared" si="70"/>
        <v>0</v>
      </c>
      <c r="AU579" s="1">
        <f t="shared" si="71"/>
        <v>0</v>
      </c>
      <c r="AV579" s="1">
        <f t="shared" si="72"/>
        <v>0</v>
      </c>
      <c r="AW579" s="1">
        <f t="shared" si="73"/>
        <v>0</v>
      </c>
      <c r="AX579" s="1">
        <f t="shared" si="74"/>
        <v>0</v>
      </c>
    </row>
    <row r="580" spans="1:50" s="1" customFormat="1" ht="24.95" customHeight="1" outlineLevel="3" x14ac:dyDescent="0.2">
      <c r="A580" s="11"/>
      <c r="B580" s="12">
        <v>340</v>
      </c>
      <c r="C580" s="12">
        <v>540</v>
      </c>
      <c r="D580" s="12">
        <v>28483</v>
      </c>
      <c r="E580" s="13" t="s">
        <v>304</v>
      </c>
      <c r="F580" s="13" t="s">
        <v>305</v>
      </c>
      <c r="G580" s="13" t="s">
        <v>56</v>
      </c>
      <c r="H580" s="13"/>
      <c r="I580" s="12">
        <v>2025</v>
      </c>
      <c r="J580" s="13" t="s">
        <v>306</v>
      </c>
      <c r="K580" s="12">
        <v>9785961489101</v>
      </c>
      <c r="L580" s="13" t="s">
        <v>307</v>
      </c>
      <c r="M580" s="12">
        <v>234</v>
      </c>
      <c r="N580" s="14">
        <v>0.16</v>
      </c>
      <c r="O580" s="12">
        <v>120</v>
      </c>
      <c r="P580" s="12">
        <v>170</v>
      </c>
      <c r="Q580" s="12">
        <v>20</v>
      </c>
      <c r="R580" s="13" t="s">
        <v>75</v>
      </c>
      <c r="S580" s="13" t="s">
        <v>160</v>
      </c>
      <c r="T580" s="15">
        <v>2500</v>
      </c>
      <c r="U580" s="13" t="s">
        <v>44</v>
      </c>
      <c r="V580" s="13" t="s">
        <v>64</v>
      </c>
      <c r="W580" s="12">
        <v>10</v>
      </c>
      <c r="X580" s="33" t="str">
        <f>HYPERLINK("https://www.alpinabook.ru/catalog/book-bez-vody","ссылка на книгу")</f>
        <v>ссылка на книгу</v>
      </c>
      <c r="Y580" s="34" t="str">
        <f>HYPERLINK("https://api-enni.alpina.ru/FilePrivilegesApproval/280","https://api-enni.alpina.ru/FilePrivilegesApproval/280")</f>
        <v>https://api-enni.alpina.ru/FilePrivilegesApproval/280</v>
      </c>
      <c r="Z580" s="13" t="s">
        <v>308</v>
      </c>
      <c r="AT580" s="1">
        <f t="shared" si="70"/>
        <v>0</v>
      </c>
      <c r="AU580" s="1">
        <f t="shared" si="71"/>
        <v>0</v>
      </c>
      <c r="AV580" s="1">
        <f t="shared" si="72"/>
        <v>0</v>
      </c>
      <c r="AW580" s="1">
        <f t="shared" si="73"/>
        <v>0</v>
      </c>
      <c r="AX580" s="1">
        <f t="shared" si="74"/>
        <v>0</v>
      </c>
    </row>
    <row r="581" spans="1:50" s="1" customFormat="1" ht="24.95" customHeight="1" outlineLevel="3" x14ac:dyDescent="0.2">
      <c r="A581" s="26"/>
      <c r="B581" s="27">
        <v>890</v>
      </c>
      <c r="C581" s="28">
        <v>1290</v>
      </c>
      <c r="D581" s="27">
        <v>12439</v>
      </c>
      <c r="E581" s="29" t="s">
        <v>1896</v>
      </c>
      <c r="F581" s="29" t="s">
        <v>1897</v>
      </c>
      <c r="G581" s="29" t="s">
        <v>56</v>
      </c>
      <c r="H581" s="29" t="s">
        <v>40</v>
      </c>
      <c r="I581" s="27">
        <v>2024</v>
      </c>
      <c r="J581" s="29" t="s">
        <v>1898</v>
      </c>
      <c r="K581" s="27">
        <v>9785961433326</v>
      </c>
      <c r="L581" s="29" t="s">
        <v>1899</v>
      </c>
      <c r="M581" s="27">
        <v>392</v>
      </c>
      <c r="N581" s="30">
        <v>0.7</v>
      </c>
      <c r="O581" s="27">
        <v>168</v>
      </c>
      <c r="P581" s="27">
        <v>241</v>
      </c>
      <c r="Q581" s="27">
        <v>5</v>
      </c>
      <c r="R581" s="29" t="s">
        <v>94</v>
      </c>
      <c r="S581" s="29"/>
      <c r="T581" s="28">
        <v>1000</v>
      </c>
      <c r="U581" s="29" t="s">
        <v>52</v>
      </c>
      <c r="V581" s="29" t="s">
        <v>64</v>
      </c>
      <c r="W581" s="27">
        <v>10</v>
      </c>
      <c r="X581" s="37" t="str">
        <f>HYPERLINK("https://www.alpinabook.ru/catalog/book-bolshaya-kniga-peregovorov","ссылка на книгу")</f>
        <v>ссылка на книгу</v>
      </c>
      <c r="Y581" s="38" t="str">
        <f>HYPERLINK("https://api-enni.alpina.ru/FilePrivilegesApproval/140","https://api-enni.alpina.ru/FilePrivilegesApproval/140")</f>
        <v>https://api-enni.alpina.ru/FilePrivilegesApproval/140</v>
      </c>
      <c r="Z581" s="29"/>
      <c r="AT581" s="1">
        <f t="shared" si="70"/>
        <v>0</v>
      </c>
      <c r="AU581" s="1">
        <f t="shared" si="71"/>
        <v>0</v>
      </c>
      <c r="AV581" s="1">
        <f t="shared" si="72"/>
        <v>0</v>
      </c>
      <c r="AW581" s="1">
        <f t="shared" si="73"/>
        <v>0</v>
      </c>
      <c r="AX581" s="1">
        <f t="shared" si="74"/>
        <v>0</v>
      </c>
    </row>
    <row r="582" spans="1:50" s="1" customFormat="1" ht="24.95" customHeight="1" outlineLevel="3" x14ac:dyDescent="0.2">
      <c r="A582" s="11"/>
      <c r="B582" s="12">
        <v>540</v>
      </c>
      <c r="C582" s="12">
        <v>790</v>
      </c>
      <c r="D582" s="12">
        <v>29818</v>
      </c>
      <c r="E582" s="13" t="s">
        <v>1900</v>
      </c>
      <c r="F582" s="13" t="s">
        <v>1901</v>
      </c>
      <c r="G582" s="13" t="s">
        <v>56</v>
      </c>
      <c r="H582" s="13"/>
      <c r="I582" s="12">
        <v>2025</v>
      </c>
      <c r="J582" s="13" t="s">
        <v>1902</v>
      </c>
      <c r="K582" s="12">
        <v>9785961493962</v>
      </c>
      <c r="L582" s="13" t="s">
        <v>1903</v>
      </c>
      <c r="M582" s="12">
        <v>338</v>
      </c>
      <c r="N582" s="14">
        <v>0.51</v>
      </c>
      <c r="O582" s="12">
        <v>150</v>
      </c>
      <c r="P582" s="12">
        <v>220</v>
      </c>
      <c r="Q582" s="12">
        <v>12</v>
      </c>
      <c r="R582" s="13" t="s">
        <v>43</v>
      </c>
      <c r="S582" s="13"/>
      <c r="T582" s="15">
        <v>2000</v>
      </c>
      <c r="U582" s="13" t="s">
        <v>52</v>
      </c>
      <c r="V582" s="13" t="s">
        <v>59</v>
      </c>
      <c r="W582" s="12">
        <v>10</v>
      </c>
      <c r="X582" s="33" t="str">
        <f>HYPERLINK("https://www.alpinabook.ru/catalog/book-govori-56-tekhnik","ссылка на книгу")</f>
        <v>ссылка на книгу</v>
      </c>
      <c r="Y582" s="34" t="str">
        <f>HYPERLINK("https://api-enni.alpina.ru/FilePrivilegesApproval/724","https://api-enni.alpina.ru/FilePrivilegesApproval/724")</f>
        <v>https://api-enni.alpina.ru/FilePrivilegesApproval/724</v>
      </c>
      <c r="Z582" s="13"/>
      <c r="AT582" s="1">
        <f t="shared" si="70"/>
        <v>0</v>
      </c>
      <c r="AU582" s="1">
        <f t="shared" si="71"/>
        <v>0</v>
      </c>
      <c r="AV582" s="1">
        <f t="shared" si="72"/>
        <v>0</v>
      </c>
      <c r="AW582" s="1">
        <f t="shared" si="73"/>
        <v>0</v>
      </c>
      <c r="AX582" s="1">
        <f t="shared" si="74"/>
        <v>0</v>
      </c>
    </row>
    <row r="583" spans="1:50" s="1" customFormat="1" ht="24.95" customHeight="1" outlineLevel="3" x14ac:dyDescent="0.2">
      <c r="A583" s="11"/>
      <c r="B583" s="12">
        <v>790</v>
      </c>
      <c r="C583" s="15">
        <v>1190</v>
      </c>
      <c r="D583" s="12">
        <v>1655</v>
      </c>
      <c r="E583" s="13" t="s">
        <v>881</v>
      </c>
      <c r="F583" s="13" t="s">
        <v>1904</v>
      </c>
      <c r="G583" s="13" t="s">
        <v>56</v>
      </c>
      <c r="H583" s="13" t="s">
        <v>40</v>
      </c>
      <c r="I583" s="12">
        <v>2025</v>
      </c>
      <c r="J583" s="13" t="s">
        <v>1905</v>
      </c>
      <c r="K583" s="12">
        <v>9785961468687</v>
      </c>
      <c r="L583" s="13" t="s">
        <v>1906</v>
      </c>
      <c r="M583" s="12">
        <v>416</v>
      </c>
      <c r="N583" s="14">
        <v>0.56999999999999995</v>
      </c>
      <c r="O583" s="12">
        <v>150</v>
      </c>
      <c r="P583" s="12">
        <v>220</v>
      </c>
      <c r="Q583" s="12">
        <v>10</v>
      </c>
      <c r="R583" s="13" t="s">
        <v>43</v>
      </c>
      <c r="S583" s="13"/>
      <c r="T583" s="15">
        <v>2000</v>
      </c>
      <c r="U583" s="13" t="s">
        <v>52</v>
      </c>
      <c r="V583" s="13" t="s">
        <v>64</v>
      </c>
      <c r="W583" s="12">
        <v>10</v>
      </c>
      <c r="X583" s="33" t="str">
        <f>HYPERLINK("https://www.alpinabook.ru/catalog/book-dogovoritsya-mozhno-obo-vsem","ссылка на книгу")</f>
        <v>ссылка на книгу</v>
      </c>
      <c r="Y583" s="34" t="str">
        <f>HYPERLINK("https://api-enni.alpina.ru/FilePrivilegesApproval/156","https://api-enni.alpina.ru/FilePrivilegesApproval/156")</f>
        <v>https://api-enni.alpina.ru/FilePrivilegesApproval/156</v>
      </c>
      <c r="Z583" s="13"/>
      <c r="AT583" s="1">
        <f t="shared" si="70"/>
        <v>0</v>
      </c>
      <c r="AU583" s="1">
        <f t="shared" si="71"/>
        <v>0</v>
      </c>
      <c r="AV583" s="1">
        <f t="shared" si="72"/>
        <v>0</v>
      </c>
      <c r="AW583" s="1">
        <f t="shared" si="73"/>
        <v>0</v>
      </c>
      <c r="AX583" s="1">
        <f t="shared" si="74"/>
        <v>0</v>
      </c>
    </row>
    <row r="584" spans="1:50" s="1" customFormat="1" ht="24.95" customHeight="1" outlineLevel="3" x14ac:dyDescent="0.2">
      <c r="A584" s="11"/>
      <c r="B584" s="12">
        <v>640</v>
      </c>
      <c r="C584" s="12">
        <v>940</v>
      </c>
      <c r="D584" s="12">
        <v>9082</v>
      </c>
      <c r="E584" s="13" t="s">
        <v>1907</v>
      </c>
      <c r="F584" s="13" t="s">
        <v>1908</v>
      </c>
      <c r="G584" s="13" t="s">
        <v>56</v>
      </c>
      <c r="H584" s="13" t="s">
        <v>40</v>
      </c>
      <c r="I584" s="12">
        <v>2025</v>
      </c>
      <c r="J584" s="13" t="s">
        <v>1909</v>
      </c>
      <c r="K584" s="12">
        <v>9785961420555</v>
      </c>
      <c r="L584" s="13" t="s">
        <v>1910</v>
      </c>
      <c r="M584" s="12">
        <v>144</v>
      </c>
      <c r="N584" s="14">
        <v>0.23</v>
      </c>
      <c r="O584" s="12">
        <v>163</v>
      </c>
      <c r="P584" s="12">
        <v>235</v>
      </c>
      <c r="Q584" s="12">
        <v>10</v>
      </c>
      <c r="R584" s="13" t="s">
        <v>94</v>
      </c>
      <c r="S584" s="13"/>
      <c r="T584" s="15">
        <v>1000</v>
      </c>
      <c r="U584" s="13" t="s">
        <v>44</v>
      </c>
      <c r="V584" s="13" t="s">
        <v>64</v>
      </c>
      <c r="W584" s="12">
        <v>10</v>
      </c>
      <c r="X584" s="33" t="str">
        <f>HYPERLINK("https://www.alpinabook.ru/catalog/book-zhestkie-prezentatsii","ссылка на книгу")</f>
        <v>ссылка на книгу</v>
      </c>
      <c r="Y584" s="34" t="str">
        <f>HYPERLINK("https://api-enni.alpina.ru/FilePrivilegesApproval/132","https://api-enni.alpina.ru/FilePrivilegesApproval/132")</f>
        <v>https://api-enni.alpina.ru/FilePrivilegesApproval/132</v>
      </c>
      <c r="Z584" s="13" t="s">
        <v>405</v>
      </c>
      <c r="AT584" s="1">
        <f t="shared" si="70"/>
        <v>0</v>
      </c>
      <c r="AU584" s="1">
        <f t="shared" si="71"/>
        <v>0</v>
      </c>
      <c r="AV584" s="1">
        <f t="shared" si="72"/>
        <v>0</v>
      </c>
      <c r="AW584" s="1">
        <f t="shared" si="73"/>
        <v>0</v>
      </c>
      <c r="AX584" s="1">
        <f t="shared" si="74"/>
        <v>0</v>
      </c>
    </row>
    <row r="585" spans="1:50" s="1" customFormat="1" ht="24.95" customHeight="1" outlineLevel="3" x14ac:dyDescent="0.2">
      <c r="A585" s="11"/>
      <c r="B585" s="12">
        <v>690</v>
      </c>
      <c r="C585" s="12">
        <v>790</v>
      </c>
      <c r="D585" s="12">
        <v>21222</v>
      </c>
      <c r="E585" s="13" t="s">
        <v>1911</v>
      </c>
      <c r="F585" s="13" t="s">
        <v>1912</v>
      </c>
      <c r="G585" s="13" t="s">
        <v>97</v>
      </c>
      <c r="H585" s="13"/>
      <c r="I585" s="12">
        <v>2025</v>
      </c>
      <c r="J585" s="13" t="s">
        <v>1913</v>
      </c>
      <c r="K585" s="12">
        <v>9785907394421</v>
      </c>
      <c r="L585" s="13" t="s">
        <v>1914</v>
      </c>
      <c r="M585" s="12">
        <v>194</v>
      </c>
      <c r="N585" s="14">
        <v>0.34</v>
      </c>
      <c r="O585" s="12">
        <v>150</v>
      </c>
      <c r="P585" s="12">
        <v>220</v>
      </c>
      <c r="Q585" s="12">
        <v>10</v>
      </c>
      <c r="R585" s="13" t="s">
        <v>43</v>
      </c>
      <c r="S585" s="13"/>
      <c r="T585" s="15">
        <v>1000</v>
      </c>
      <c r="U585" s="13" t="s">
        <v>52</v>
      </c>
      <c r="V585" s="13" t="s">
        <v>59</v>
      </c>
      <c r="W585" s="12">
        <v>10</v>
      </c>
      <c r="X585" s="33" t="str">
        <f>HYPERLINK("https://www.alpinabook.ru/catalog/book-iskusstvo-razgovarivat","ссылка на книгу")</f>
        <v>ссылка на книгу</v>
      </c>
      <c r="Y585" s="34" t="str">
        <f>HYPERLINK("https://api-enni.alpina.ru/FilePrivilegesApproval/129","https://api-enni.alpina.ru/FilePrivilegesApproval/129")</f>
        <v>https://api-enni.alpina.ru/FilePrivilegesApproval/129</v>
      </c>
      <c r="Z585" s="13" t="s">
        <v>865</v>
      </c>
      <c r="AT585" s="1">
        <f t="shared" si="70"/>
        <v>0</v>
      </c>
      <c r="AU585" s="1">
        <f t="shared" si="71"/>
        <v>0</v>
      </c>
      <c r="AV585" s="1">
        <f t="shared" si="72"/>
        <v>0</v>
      </c>
      <c r="AW585" s="1">
        <f t="shared" si="73"/>
        <v>0</v>
      </c>
      <c r="AX585" s="1">
        <f t="shared" si="74"/>
        <v>0</v>
      </c>
    </row>
    <row r="586" spans="1:50" s="1" customFormat="1" ht="24.95" customHeight="1" outlineLevel="3" x14ac:dyDescent="0.2">
      <c r="A586" s="11"/>
      <c r="B586" s="12">
        <v>620</v>
      </c>
      <c r="C586" s="12">
        <v>890</v>
      </c>
      <c r="D586" s="12">
        <v>32336</v>
      </c>
      <c r="E586" s="13" t="s">
        <v>472</v>
      </c>
      <c r="F586" s="13" t="s">
        <v>1915</v>
      </c>
      <c r="G586" s="13" t="s">
        <v>56</v>
      </c>
      <c r="H586" s="13" t="s">
        <v>40</v>
      </c>
      <c r="I586" s="12">
        <v>2025</v>
      </c>
      <c r="J586" s="13" t="s">
        <v>1916</v>
      </c>
      <c r="K586" s="12">
        <v>9785006301924</v>
      </c>
      <c r="L586" s="13" t="s">
        <v>1917</v>
      </c>
      <c r="M586" s="12">
        <v>208</v>
      </c>
      <c r="N586" s="14">
        <v>0.36</v>
      </c>
      <c r="O586" s="12">
        <v>150</v>
      </c>
      <c r="P586" s="12">
        <v>220</v>
      </c>
      <c r="Q586" s="12">
        <v>12</v>
      </c>
      <c r="R586" s="13" t="s">
        <v>43</v>
      </c>
      <c r="S586" s="13"/>
      <c r="T586" s="15">
        <v>3000</v>
      </c>
      <c r="U586" s="13" t="s">
        <v>52</v>
      </c>
      <c r="V586" s="13" t="s">
        <v>64</v>
      </c>
      <c r="W586" s="12">
        <v>10</v>
      </c>
      <c r="X586" s="33" t="str">
        <f>HYPERLINK("https://www.alpinabook.ru/catalog/book-kak-razgovarivat-s-kem-ugodno-kogda-ugodno-i-gde-ugodno","ссылка на книгу")</f>
        <v>ссылка на книгу</v>
      </c>
      <c r="Y586" s="34" t="str">
        <f>HYPERLINK("https://api-enni.alpina.ru/FilePrivilegesApproval/152","https://api-enni.alpina.ru/FilePrivilegesApproval/152")</f>
        <v>https://api-enni.alpina.ru/FilePrivilegesApproval/152</v>
      </c>
      <c r="Z586" s="13" t="s">
        <v>1918</v>
      </c>
      <c r="AT586" s="1">
        <f t="shared" si="70"/>
        <v>0</v>
      </c>
      <c r="AU586" s="1">
        <f t="shared" si="71"/>
        <v>0</v>
      </c>
      <c r="AV586" s="1">
        <f t="shared" si="72"/>
        <v>0</v>
      </c>
      <c r="AW586" s="1">
        <f t="shared" si="73"/>
        <v>0</v>
      </c>
      <c r="AX586" s="1">
        <f t="shared" si="74"/>
        <v>0</v>
      </c>
    </row>
    <row r="587" spans="1:50" s="1" customFormat="1" ht="24.95" customHeight="1" outlineLevel="3" x14ac:dyDescent="0.2">
      <c r="A587" s="11"/>
      <c r="B587" s="12">
        <v>790</v>
      </c>
      <c r="C587" s="12">
        <v>790</v>
      </c>
      <c r="D587" s="12">
        <v>22623</v>
      </c>
      <c r="E587" s="13" t="s">
        <v>1919</v>
      </c>
      <c r="F587" s="13" t="s">
        <v>1920</v>
      </c>
      <c r="G587" s="13" t="s">
        <v>97</v>
      </c>
      <c r="H587" s="13"/>
      <c r="I587" s="12">
        <v>2021</v>
      </c>
      <c r="J587" s="13" t="s">
        <v>1921</v>
      </c>
      <c r="K587" s="12">
        <v>9785907394612</v>
      </c>
      <c r="L587" s="13" t="s">
        <v>1922</v>
      </c>
      <c r="M587" s="12">
        <v>176</v>
      </c>
      <c r="N587" s="14">
        <v>0.31</v>
      </c>
      <c r="O587" s="12">
        <v>146</v>
      </c>
      <c r="P587" s="12">
        <v>216</v>
      </c>
      <c r="Q587" s="12">
        <v>12</v>
      </c>
      <c r="R587" s="13" t="s">
        <v>43</v>
      </c>
      <c r="S587" s="13"/>
      <c r="T587" s="15">
        <v>1500</v>
      </c>
      <c r="U587" s="13" t="s">
        <v>52</v>
      </c>
      <c r="V587" s="13" t="s">
        <v>59</v>
      </c>
      <c r="W587" s="12">
        <v>10</v>
      </c>
      <c r="X587" s="33" t="str">
        <f>HYPERLINK("https://www.alpinabook.ru/catalog/book-0","ссылка на книгу")</f>
        <v>ссылка на книгу</v>
      </c>
      <c r="Y587" s="34" t="str">
        <f>HYPERLINK("https://api-enni.alpina.ru/FilePrivilegesApproval/120","https://api-enni.alpina.ru/FilePrivilegesApproval/120")</f>
        <v>https://api-enni.alpina.ru/FilePrivilegesApproval/120</v>
      </c>
      <c r="Z587" s="13"/>
      <c r="AT587" s="1">
        <f t="shared" si="70"/>
        <v>0</v>
      </c>
      <c r="AU587" s="1">
        <f t="shared" si="71"/>
        <v>0</v>
      </c>
      <c r="AV587" s="1">
        <f t="shared" si="72"/>
        <v>0</v>
      </c>
      <c r="AW587" s="1">
        <f t="shared" si="73"/>
        <v>0</v>
      </c>
      <c r="AX587" s="1">
        <f t="shared" si="74"/>
        <v>0</v>
      </c>
    </row>
    <row r="588" spans="1:50" s="1" customFormat="1" ht="24.95" customHeight="1" outlineLevel="3" x14ac:dyDescent="0.2">
      <c r="A588" s="11"/>
      <c r="B588" s="12">
        <v>790</v>
      </c>
      <c r="C588" s="15">
        <v>1190</v>
      </c>
      <c r="D588" s="12">
        <v>29460</v>
      </c>
      <c r="E588" s="13" t="s">
        <v>1923</v>
      </c>
      <c r="F588" s="13" t="s">
        <v>1924</v>
      </c>
      <c r="G588" s="13" t="s">
        <v>56</v>
      </c>
      <c r="H588" s="13" t="s">
        <v>40</v>
      </c>
      <c r="I588" s="12">
        <v>2025</v>
      </c>
      <c r="J588" s="13" t="s">
        <v>1925</v>
      </c>
      <c r="K588" s="12">
        <v>9785961492637</v>
      </c>
      <c r="L588" s="13" t="s">
        <v>1926</v>
      </c>
      <c r="M588" s="12">
        <v>352</v>
      </c>
      <c r="N588" s="14">
        <v>0.53</v>
      </c>
      <c r="O588" s="12">
        <v>150</v>
      </c>
      <c r="P588" s="12">
        <v>220</v>
      </c>
      <c r="Q588" s="12">
        <v>5</v>
      </c>
      <c r="R588" s="13" t="s">
        <v>43</v>
      </c>
      <c r="S588" s="13"/>
      <c r="T588" s="15">
        <v>1000</v>
      </c>
      <c r="U588" s="13" t="s">
        <v>52</v>
      </c>
      <c r="V588" s="13" t="s">
        <v>45</v>
      </c>
      <c r="W588" s="12">
        <v>10</v>
      </c>
      <c r="X588" s="33" t="str">
        <f>HYPERLINK("https://www.alpinabook.ru/catalog/book-my-mozhem-dogovoritsya","ссылка на книгу")</f>
        <v>ссылка на книгу</v>
      </c>
      <c r="Y588" s="34" t="str">
        <f>HYPERLINK("https://api-enni.alpina.ru/FilePrivilegesApproval/700","https://api-enni.alpina.ru/FilePrivilegesApproval/700")</f>
        <v>https://api-enni.alpina.ru/FilePrivilegesApproval/700</v>
      </c>
      <c r="Z588" s="13" t="s">
        <v>847</v>
      </c>
      <c r="AT588" s="1">
        <f t="shared" si="70"/>
        <v>0</v>
      </c>
      <c r="AU588" s="1">
        <f t="shared" si="71"/>
        <v>0</v>
      </c>
      <c r="AV588" s="1">
        <f t="shared" si="72"/>
        <v>0</v>
      </c>
      <c r="AW588" s="1">
        <f t="shared" si="73"/>
        <v>0</v>
      </c>
      <c r="AX588" s="1">
        <f t="shared" si="74"/>
        <v>0</v>
      </c>
    </row>
    <row r="589" spans="1:50" s="1" customFormat="1" ht="24.95" customHeight="1" outlineLevel="3" x14ac:dyDescent="0.2">
      <c r="A589" s="11"/>
      <c r="B589" s="12">
        <v>540</v>
      </c>
      <c r="C589" s="12">
        <v>790</v>
      </c>
      <c r="D589" s="12">
        <v>4882</v>
      </c>
      <c r="E589" s="13" t="s">
        <v>1927</v>
      </c>
      <c r="F589" s="13" t="s">
        <v>1928</v>
      </c>
      <c r="G589" s="13" t="s">
        <v>97</v>
      </c>
      <c r="H589" s="13"/>
      <c r="I589" s="12">
        <v>2024</v>
      </c>
      <c r="J589" s="13" t="s">
        <v>1929</v>
      </c>
      <c r="K589" s="12">
        <v>9785907470187</v>
      </c>
      <c r="L589" s="13" t="s">
        <v>1930</v>
      </c>
      <c r="M589" s="12">
        <v>216</v>
      </c>
      <c r="N589" s="14">
        <v>0.67</v>
      </c>
      <c r="O589" s="12">
        <v>153</v>
      </c>
      <c r="P589" s="12">
        <v>216</v>
      </c>
      <c r="Q589" s="12">
        <v>8</v>
      </c>
      <c r="R589" s="13" t="s">
        <v>43</v>
      </c>
      <c r="S589" s="13"/>
      <c r="T589" s="15">
        <v>1000</v>
      </c>
      <c r="U589" s="13" t="s">
        <v>52</v>
      </c>
      <c r="V589" s="13" t="s">
        <v>64</v>
      </c>
      <c r="W589" s="12">
        <v>10</v>
      </c>
      <c r="X589" s="33" t="str">
        <f>HYPERLINK("https://www.alpinabook.ru/catalog/book-nesluchaynye-svyazi","ссылка на книгу")</f>
        <v>ссылка на книгу</v>
      </c>
      <c r="Y589" s="34" t="str">
        <f>HYPERLINK("https://api-enni.alpina.ru/FilePrivilegesApproval/2","https://api-enni.alpina.ru/FilePrivilegesApproval/2")</f>
        <v>https://api-enni.alpina.ru/FilePrivilegesApproval/2</v>
      </c>
      <c r="Z589" s="13" t="s">
        <v>295</v>
      </c>
      <c r="AT589" s="1">
        <f t="shared" si="70"/>
        <v>0</v>
      </c>
      <c r="AU589" s="1">
        <f t="shared" si="71"/>
        <v>0</v>
      </c>
      <c r="AV589" s="1">
        <f t="shared" si="72"/>
        <v>0</v>
      </c>
      <c r="AW589" s="1">
        <f t="shared" si="73"/>
        <v>0</v>
      </c>
      <c r="AX589" s="1">
        <f t="shared" si="74"/>
        <v>0</v>
      </c>
    </row>
    <row r="590" spans="1:50" s="1" customFormat="1" ht="24.95" customHeight="1" outlineLevel="3" x14ac:dyDescent="0.2">
      <c r="A590" s="11"/>
      <c r="B590" s="12">
        <v>740</v>
      </c>
      <c r="C590" s="15">
        <v>1090</v>
      </c>
      <c r="D590" s="12">
        <v>24320</v>
      </c>
      <c r="E590" s="13" t="s">
        <v>1931</v>
      </c>
      <c r="F590" s="13" t="s">
        <v>1932</v>
      </c>
      <c r="G590" s="13" t="s">
        <v>97</v>
      </c>
      <c r="H590" s="13"/>
      <c r="I590" s="12">
        <v>2025</v>
      </c>
      <c r="J590" s="13" t="s">
        <v>1933</v>
      </c>
      <c r="K590" s="12">
        <v>9785907534285</v>
      </c>
      <c r="L590" s="13" t="s">
        <v>1934</v>
      </c>
      <c r="M590" s="12">
        <v>192</v>
      </c>
      <c r="N590" s="14">
        <v>0.34</v>
      </c>
      <c r="O590" s="12">
        <v>160</v>
      </c>
      <c r="P590" s="12">
        <v>220</v>
      </c>
      <c r="Q590" s="12">
        <v>5</v>
      </c>
      <c r="R590" s="13" t="s">
        <v>43</v>
      </c>
      <c r="S590" s="13"/>
      <c r="T590" s="15">
        <v>1000</v>
      </c>
      <c r="U590" s="13" t="s">
        <v>52</v>
      </c>
      <c r="V590" s="13" t="s">
        <v>59</v>
      </c>
      <c r="W590" s="12">
        <v>10</v>
      </c>
      <c r="X590" s="33" t="str">
        <f>HYPERLINK("https://www.alpinabook.ru/catalog/book-peregovory-za-minutu","ссылка на книгу")</f>
        <v>ссылка на книгу</v>
      </c>
      <c r="Y590" s="34" t="str">
        <f>HYPERLINK("https://api-enni.alpina.ru/FilePrivilegesApproval/275","https://api-enni.alpina.ru/FilePrivilegesApproval/275")</f>
        <v>https://api-enni.alpina.ru/FilePrivilegesApproval/275</v>
      </c>
      <c r="Z590" s="13" t="s">
        <v>775</v>
      </c>
      <c r="AT590" s="1">
        <f t="shared" si="70"/>
        <v>0</v>
      </c>
      <c r="AU590" s="1">
        <f t="shared" si="71"/>
        <v>0</v>
      </c>
      <c r="AV590" s="1">
        <f t="shared" si="72"/>
        <v>0</v>
      </c>
      <c r="AW590" s="1">
        <f t="shared" si="73"/>
        <v>0</v>
      </c>
      <c r="AX590" s="1">
        <f t="shared" si="74"/>
        <v>0</v>
      </c>
    </row>
    <row r="591" spans="1:50" s="1" customFormat="1" ht="24.95" customHeight="1" outlineLevel="3" x14ac:dyDescent="0.2">
      <c r="A591" s="11"/>
      <c r="B591" s="12">
        <v>790</v>
      </c>
      <c r="C591" s="15">
        <v>1190</v>
      </c>
      <c r="D591" s="12">
        <v>5058</v>
      </c>
      <c r="E591" s="13" t="s">
        <v>881</v>
      </c>
      <c r="F591" s="13" t="s">
        <v>1935</v>
      </c>
      <c r="G591" s="13" t="s">
        <v>56</v>
      </c>
      <c r="H591" s="13" t="s">
        <v>40</v>
      </c>
      <c r="I591" s="12">
        <v>2025</v>
      </c>
      <c r="J591" s="13" t="s">
        <v>1936</v>
      </c>
      <c r="K591" s="12">
        <v>9785961471281</v>
      </c>
      <c r="L591" s="13" t="s">
        <v>1937</v>
      </c>
      <c r="M591" s="12">
        <v>385</v>
      </c>
      <c r="N591" s="14">
        <v>0.76</v>
      </c>
      <c r="O591" s="12">
        <v>170</v>
      </c>
      <c r="P591" s="12">
        <v>240</v>
      </c>
      <c r="Q591" s="12">
        <v>6</v>
      </c>
      <c r="R591" s="13" t="s">
        <v>94</v>
      </c>
      <c r="S591" s="13"/>
      <c r="T591" s="15">
        <v>1500</v>
      </c>
      <c r="U591" s="13" t="s">
        <v>52</v>
      </c>
      <c r="V591" s="13" t="s">
        <v>64</v>
      </c>
      <c r="W591" s="12">
        <v>10</v>
      </c>
      <c r="X591" s="33" t="str">
        <f>HYPERLINK("https://www.alpinabook.ru/catalog/book-peregovory","ссылка на книгу")</f>
        <v>ссылка на книгу</v>
      </c>
      <c r="Y591" s="34" t="str">
        <f>HYPERLINK("https://api-enni.alpina.ru/FilePrivilegesApproval/2","https://api-enni.alpina.ru/FilePrivilegesApproval/2")</f>
        <v>https://api-enni.alpina.ru/FilePrivilegesApproval/2</v>
      </c>
      <c r="Z591" s="13" t="s">
        <v>70</v>
      </c>
      <c r="AT591" s="1">
        <f t="shared" si="70"/>
        <v>0</v>
      </c>
      <c r="AU591" s="1">
        <f t="shared" si="71"/>
        <v>0</v>
      </c>
      <c r="AV591" s="1">
        <f t="shared" si="72"/>
        <v>0</v>
      </c>
      <c r="AW591" s="1">
        <f t="shared" si="73"/>
        <v>0</v>
      </c>
      <c r="AX591" s="1">
        <f t="shared" si="74"/>
        <v>0</v>
      </c>
    </row>
    <row r="592" spans="1:50" s="1" customFormat="1" ht="24.95" customHeight="1" outlineLevel="3" x14ac:dyDescent="0.2">
      <c r="A592" s="11"/>
      <c r="B592" s="12">
        <v>490</v>
      </c>
      <c r="C592" s="12">
        <v>740</v>
      </c>
      <c r="D592" s="12">
        <v>8317</v>
      </c>
      <c r="E592" s="13" t="s">
        <v>510</v>
      </c>
      <c r="F592" s="13" t="s">
        <v>835</v>
      </c>
      <c r="G592" s="13" t="s">
        <v>56</v>
      </c>
      <c r="H592" s="13"/>
      <c r="I592" s="12">
        <v>2018</v>
      </c>
      <c r="J592" s="13" t="s">
        <v>836</v>
      </c>
      <c r="K592" s="12">
        <v>9785961466690</v>
      </c>
      <c r="L592" s="13" t="s">
        <v>837</v>
      </c>
      <c r="M592" s="12">
        <v>140</v>
      </c>
      <c r="N592" s="14">
        <v>0.28999999999999998</v>
      </c>
      <c r="O592" s="12">
        <v>153</v>
      </c>
      <c r="P592" s="12">
        <v>216</v>
      </c>
      <c r="Q592" s="12">
        <v>10</v>
      </c>
      <c r="R592" s="13" t="s">
        <v>43</v>
      </c>
      <c r="S592" s="13"/>
      <c r="T592" s="15">
        <v>1000</v>
      </c>
      <c r="U592" s="13" t="s">
        <v>52</v>
      </c>
      <c r="V592" s="13" t="s">
        <v>64</v>
      </c>
      <c r="W592" s="12">
        <v>10</v>
      </c>
      <c r="X592" s="33" t="str">
        <f>HYPERLINK("https://www.alpinabook.ru/catalog/book-ya-slyshu-chto-vy-dumaete-na-samom-dele","ссылка на книгу")</f>
        <v>ссылка на книгу</v>
      </c>
      <c r="Y592" s="34" t="str">
        <f>HYPERLINK("https://api-enni.alpina.ru/FilePrivilegesApproval/156","https://api-enni.alpina.ru/FilePrivilegesApproval/156")</f>
        <v>https://api-enni.alpina.ru/FilePrivilegesApproval/156</v>
      </c>
      <c r="Z592" s="13" t="s">
        <v>118</v>
      </c>
      <c r="AT592" s="1">
        <f t="shared" si="70"/>
        <v>0</v>
      </c>
      <c r="AU592" s="1">
        <f t="shared" si="71"/>
        <v>0</v>
      </c>
      <c r="AV592" s="1">
        <f t="shared" si="72"/>
        <v>0</v>
      </c>
      <c r="AW592" s="1">
        <f t="shared" si="73"/>
        <v>0</v>
      </c>
      <c r="AX592" s="1">
        <f t="shared" si="74"/>
        <v>0</v>
      </c>
    </row>
    <row r="593" spans="1:50" ht="11.1" customHeight="1" outlineLevel="2" x14ac:dyDescent="0.2">
      <c r="A593" s="40" t="s">
        <v>1938</v>
      </c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20"/>
    </row>
    <row r="594" spans="1:50" s="1" customFormat="1" ht="24.95" customHeight="1" outlineLevel="3" x14ac:dyDescent="0.2">
      <c r="A594" s="11"/>
      <c r="B594" s="12">
        <v>490</v>
      </c>
      <c r="C594" s="12">
        <v>740</v>
      </c>
      <c r="D594" s="12">
        <v>12603</v>
      </c>
      <c r="E594" s="13" t="s">
        <v>1939</v>
      </c>
      <c r="F594" s="13" t="s">
        <v>1940</v>
      </c>
      <c r="G594" s="13" t="s">
        <v>97</v>
      </c>
      <c r="H594" s="13"/>
      <c r="I594" s="12">
        <v>2023</v>
      </c>
      <c r="J594" s="13" t="s">
        <v>1941</v>
      </c>
      <c r="K594" s="12">
        <v>9785604287958</v>
      </c>
      <c r="L594" s="13" t="s">
        <v>1942</v>
      </c>
      <c r="M594" s="12">
        <v>355</v>
      </c>
      <c r="N594" s="14">
        <v>0.26</v>
      </c>
      <c r="O594" s="12">
        <v>120</v>
      </c>
      <c r="P594" s="12">
        <v>170</v>
      </c>
      <c r="Q594" s="12">
        <v>12</v>
      </c>
      <c r="R594" s="13" t="s">
        <v>75</v>
      </c>
      <c r="S594" s="13" t="s">
        <v>815</v>
      </c>
      <c r="T594" s="15">
        <v>2000</v>
      </c>
      <c r="U594" s="13" t="s">
        <v>44</v>
      </c>
      <c r="V594" s="13" t="s">
        <v>45</v>
      </c>
      <c r="W594" s="12">
        <v>10</v>
      </c>
      <c r="X594" s="33" t="str">
        <f>HYPERLINK("https://www.alpinabook.ru/catalog/book-101-sposob-raskrutki-lichnogo-brenda","ссылка на книгу")</f>
        <v>ссылка на книгу</v>
      </c>
      <c r="Y594" s="34" t="str">
        <f>HYPERLINK("https://api-enni.alpina.ru/FilePrivilegesApproval/116","https://api-enni.alpina.ru/FilePrivilegesApproval/116")</f>
        <v>https://api-enni.alpina.ru/FilePrivilegesApproval/116</v>
      </c>
      <c r="Z594" s="13" t="s">
        <v>1943</v>
      </c>
      <c r="AT594" s="1">
        <f t="shared" ref="AT594:AT600" si="75">IF($A594&lt;&gt;0,1,0)</f>
        <v>0</v>
      </c>
      <c r="AU594" s="1">
        <f t="shared" ref="AU594:AU600" si="76">$A594*$B594</f>
        <v>0</v>
      </c>
      <c r="AV594" s="1">
        <f t="shared" ref="AV594:AV600" si="77">$A594*$N594</f>
        <v>0</v>
      </c>
      <c r="AW594" s="1">
        <f t="shared" ref="AW594:AW600" si="78">IF($Q594=0,0,INT($A594/$Q594))</f>
        <v>0</v>
      </c>
      <c r="AX594" s="1">
        <f t="shared" ref="AX594:AX600" si="79">$A594-$AW594*$Q594</f>
        <v>0</v>
      </c>
    </row>
    <row r="595" spans="1:50" s="1" customFormat="1" ht="24.95" customHeight="1" outlineLevel="3" x14ac:dyDescent="0.2">
      <c r="A595" s="11"/>
      <c r="B595" s="12">
        <v>290</v>
      </c>
      <c r="C595" s="12">
        <v>440</v>
      </c>
      <c r="D595" s="12">
        <v>24077</v>
      </c>
      <c r="E595" s="13" t="s">
        <v>827</v>
      </c>
      <c r="F595" s="13" t="s">
        <v>1944</v>
      </c>
      <c r="G595" s="13" t="s">
        <v>56</v>
      </c>
      <c r="H595" s="13"/>
      <c r="I595" s="12">
        <v>2024</v>
      </c>
      <c r="J595" s="13" t="s">
        <v>1945</v>
      </c>
      <c r="K595" s="12">
        <v>9785961426229</v>
      </c>
      <c r="L595" s="13" t="s">
        <v>1946</v>
      </c>
      <c r="M595" s="12">
        <v>203</v>
      </c>
      <c r="N595" s="14">
        <v>0.1</v>
      </c>
      <c r="O595" s="12">
        <v>115</v>
      </c>
      <c r="P595" s="12">
        <v>165</v>
      </c>
      <c r="Q595" s="12">
        <v>22</v>
      </c>
      <c r="R595" s="13" t="s">
        <v>75</v>
      </c>
      <c r="S595" s="13" t="s">
        <v>815</v>
      </c>
      <c r="T595" s="15">
        <v>3000</v>
      </c>
      <c r="U595" s="13" t="s">
        <v>44</v>
      </c>
      <c r="V595" s="13" t="s">
        <v>64</v>
      </c>
      <c r="W595" s="12">
        <v>10</v>
      </c>
      <c r="X595" s="33" t="str">
        <f>HYPERLINK("https://www.alpinabook.ru/catalog/book-gni-svoyu-liniyu-priemy","ссылка на книгу")</f>
        <v>ссылка на книгу</v>
      </c>
      <c r="Y595" s="34" t="str">
        <f>HYPERLINK("https://api-enni.alpina.ru/FilePrivilegesApproval/119","https://api-enni.alpina.ru/FilePrivilegesApproval/119")</f>
        <v>https://api-enni.alpina.ru/FilePrivilegesApproval/119</v>
      </c>
      <c r="Z595" s="13"/>
      <c r="AT595" s="1">
        <f t="shared" si="75"/>
        <v>0</v>
      </c>
      <c r="AU595" s="1">
        <f t="shared" si="76"/>
        <v>0</v>
      </c>
      <c r="AV595" s="1">
        <f t="shared" si="77"/>
        <v>0</v>
      </c>
      <c r="AW595" s="1">
        <f t="shared" si="78"/>
        <v>0</v>
      </c>
      <c r="AX595" s="1">
        <f t="shared" si="79"/>
        <v>0</v>
      </c>
    </row>
    <row r="596" spans="1:50" s="1" customFormat="1" ht="24.95" customHeight="1" outlineLevel="3" x14ac:dyDescent="0.2">
      <c r="A596" s="11"/>
      <c r="B596" s="12">
        <v>290</v>
      </c>
      <c r="C596" s="12">
        <v>440</v>
      </c>
      <c r="D596" s="12">
        <v>12585</v>
      </c>
      <c r="E596" s="13" t="s">
        <v>811</v>
      </c>
      <c r="F596" s="13" t="s">
        <v>1947</v>
      </c>
      <c r="G596" s="13" t="s">
        <v>56</v>
      </c>
      <c r="H596" s="13" t="s">
        <v>164</v>
      </c>
      <c r="I596" s="12">
        <v>2025</v>
      </c>
      <c r="J596" s="13" t="s">
        <v>1948</v>
      </c>
      <c r="K596" s="12">
        <v>9785961426151</v>
      </c>
      <c r="L596" s="13" t="s">
        <v>1949</v>
      </c>
      <c r="M596" s="12">
        <v>218</v>
      </c>
      <c r="N596" s="14">
        <v>0.13</v>
      </c>
      <c r="O596" s="12">
        <v>120</v>
      </c>
      <c r="P596" s="12">
        <v>170</v>
      </c>
      <c r="Q596" s="12">
        <v>28</v>
      </c>
      <c r="R596" s="13" t="s">
        <v>75</v>
      </c>
      <c r="S596" s="13" t="s">
        <v>815</v>
      </c>
      <c r="T596" s="15">
        <v>3000</v>
      </c>
      <c r="U596" s="13" t="s">
        <v>44</v>
      </c>
      <c r="V596" s="13" t="s">
        <v>64</v>
      </c>
      <c r="W596" s="12">
        <v>10</v>
      </c>
      <c r="X596" s="33" t="str">
        <f>HYPERLINK("https://www.alpinabook.ru/catalog/book-iskusstvo-slovesnoy-ataki","ссылка на книгу")</f>
        <v>ссылка на книгу</v>
      </c>
      <c r="Y596" s="34" t="str">
        <f>HYPERLINK("https://api-enni.alpina.ru/FilePrivilegesApproval/156","https://api-enni.alpina.ru/FilePrivilegesApproval/156")</f>
        <v>https://api-enni.alpina.ru/FilePrivilegesApproval/156</v>
      </c>
      <c r="Z596" s="13" t="s">
        <v>775</v>
      </c>
      <c r="AT596" s="1">
        <f t="shared" si="75"/>
        <v>0</v>
      </c>
      <c r="AU596" s="1">
        <f t="shared" si="76"/>
        <v>0</v>
      </c>
      <c r="AV596" s="1">
        <f t="shared" si="77"/>
        <v>0</v>
      </c>
      <c r="AW596" s="1">
        <f t="shared" si="78"/>
        <v>0</v>
      </c>
      <c r="AX596" s="1">
        <f t="shared" si="79"/>
        <v>0</v>
      </c>
    </row>
    <row r="597" spans="1:50" s="1" customFormat="1" ht="24.95" customHeight="1" outlineLevel="3" x14ac:dyDescent="0.2">
      <c r="A597" s="11"/>
      <c r="B597" s="12">
        <v>290</v>
      </c>
      <c r="C597" s="12">
        <v>440</v>
      </c>
      <c r="D597" s="12">
        <v>27601</v>
      </c>
      <c r="E597" s="13" t="s">
        <v>124</v>
      </c>
      <c r="F597" s="13" t="s">
        <v>1950</v>
      </c>
      <c r="G597" s="13" t="s">
        <v>56</v>
      </c>
      <c r="H597" s="13"/>
      <c r="I597" s="12">
        <v>2025</v>
      </c>
      <c r="J597" s="13" t="s">
        <v>1951</v>
      </c>
      <c r="K597" s="12">
        <v>9785961485820</v>
      </c>
      <c r="L597" s="13" t="s">
        <v>1952</v>
      </c>
      <c r="M597" s="12">
        <v>316</v>
      </c>
      <c r="N597" s="14">
        <v>0.21</v>
      </c>
      <c r="O597" s="12">
        <v>120</v>
      </c>
      <c r="P597" s="12">
        <v>170</v>
      </c>
      <c r="Q597" s="12">
        <v>12</v>
      </c>
      <c r="R597" s="13" t="s">
        <v>75</v>
      </c>
      <c r="S597" s="13"/>
      <c r="T597" s="15">
        <v>5000</v>
      </c>
      <c r="U597" s="13" t="s">
        <v>44</v>
      </c>
      <c r="V597" s="13" t="s">
        <v>45</v>
      </c>
      <c r="W597" s="12">
        <v>10</v>
      </c>
      <c r="X597" s="33" t="str">
        <f>HYPERLINK("https://www.alpinabook.ru/catalog/book-magiya-obshcheniya","ссылка на книгу")</f>
        <v>ссылка на книгу</v>
      </c>
      <c r="Y597" s="34" t="str">
        <f>HYPERLINK("https://api-enni.alpina.ru/FilePrivilegesApproval/205","https://api-enni.alpina.ru/FilePrivilegesApproval/205")</f>
        <v>https://api-enni.alpina.ru/FilePrivilegesApproval/205</v>
      </c>
      <c r="Z597" s="13"/>
      <c r="AT597" s="1">
        <f t="shared" si="75"/>
        <v>0</v>
      </c>
      <c r="AU597" s="1">
        <f t="shared" si="76"/>
        <v>0</v>
      </c>
      <c r="AV597" s="1">
        <f t="shared" si="77"/>
        <v>0</v>
      </c>
      <c r="AW597" s="1">
        <f t="shared" si="78"/>
        <v>0</v>
      </c>
      <c r="AX597" s="1">
        <f t="shared" si="79"/>
        <v>0</v>
      </c>
    </row>
    <row r="598" spans="1:50" s="1" customFormat="1" ht="24.95" customHeight="1" outlineLevel="3" x14ac:dyDescent="0.2">
      <c r="A598" s="11"/>
      <c r="B598" s="12">
        <v>290</v>
      </c>
      <c r="C598" s="12">
        <v>440</v>
      </c>
      <c r="D598" s="12">
        <v>12589</v>
      </c>
      <c r="E598" s="13" t="s">
        <v>124</v>
      </c>
      <c r="F598" s="13" t="s">
        <v>1953</v>
      </c>
      <c r="G598" s="13" t="s">
        <v>56</v>
      </c>
      <c r="H598" s="13"/>
      <c r="I598" s="12">
        <v>2025</v>
      </c>
      <c r="J598" s="13" t="s">
        <v>1954</v>
      </c>
      <c r="K598" s="12">
        <v>9785961426243</v>
      </c>
      <c r="L598" s="13" t="s">
        <v>1955</v>
      </c>
      <c r="M598" s="12">
        <v>122</v>
      </c>
      <c r="N598" s="14">
        <v>0.09</v>
      </c>
      <c r="O598" s="12">
        <v>115</v>
      </c>
      <c r="P598" s="12">
        <v>165</v>
      </c>
      <c r="Q598" s="12">
        <v>34</v>
      </c>
      <c r="R598" s="13" t="s">
        <v>75</v>
      </c>
      <c r="S598" s="13" t="s">
        <v>815</v>
      </c>
      <c r="T598" s="15">
        <v>2000</v>
      </c>
      <c r="U598" s="13" t="s">
        <v>44</v>
      </c>
      <c r="V598" s="13" t="s">
        <v>64</v>
      </c>
      <c r="W598" s="12">
        <v>10</v>
      </c>
      <c r="X598" s="33" t="str">
        <f>HYPERLINK("https://www.alpinabook.ru/catalog/book-pravila-delovogo-obshcheniya","ссылка на книгу")</f>
        <v>ссылка на книгу</v>
      </c>
      <c r="Y598" s="34" t="str">
        <f>HYPERLINK("https://api-enni.alpina.ru/FilePrivilegesApproval/152","https://api-enni.alpina.ru/FilePrivilegesApproval/152")</f>
        <v>https://api-enni.alpina.ru/FilePrivilegesApproval/152</v>
      </c>
      <c r="Z598" s="13" t="s">
        <v>954</v>
      </c>
      <c r="AT598" s="1">
        <f t="shared" si="75"/>
        <v>0</v>
      </c>
      <c r="AU598" s="1">
        <f t="shared" si="76"/>
        <v>0</v>
      </c>
      <c r="AV598" s="1">
        <f t="shared" si="77"/>
        <v>0</v>
      </c>
      <c r="AW598" s="1">
        <f t="shared" si="78"/>
        <v>0</v>
      </c>
      <c r="AX598" s="1">
        <f t="shared" si="79"/>
        <v>0</v>
      </c>
    </row>
    <row r="599" spans="1:50" s="1" customFormat="1" ht="24.95" customHeight="1" outlineLevel="3" x14ac:dyDescent="0.2">
      <c r="A599" s="11"/>
      <c r="B599" s="12">
        <v>290</v>
      </c>
      <c r="C599" s="12">
        <v>440</v>
      </c>
      <c r="D599" s="12">
        <v>12601</v>
      </c>
      <c r="E599" s="13" t="s">
        <v>811</v>
      </c>
      <c r="F599" s="13" t="s">
        <v>812</v>
      </c>
      <c r="G599" s="13" t="s">
        <v>56</v>
      </c>
      <c r="H599" s="13" t="s">
        <v>164</v>
      </c>
      <c r="I599" s="12">
        <v>2025</v>
      </c>
      <c r="J599" s="13" t="s">
        <v>813</v>
      </c>
      <c r="K599" s="12">
        <v>9785961425925</v>
      </c>
      <c r="L599" s="13" t="s">
        <v>814</v>
      </c>
      <c r="M599" s="12">
        <v>256</v>
      </c>
      <c r="N599" s="14">
        <v>0.17</v>
      </c>
      <c r="O599" s="12">
        <v>115</v>
      </c>
      <c r="P599" s="12">
        <v>165</v>
      </c>
      <c r="Q599" s="12">
        <v>12</v>
      </c>
      <c r="R599" s="13" t="s">
        <v>75</v>
      </c>
      <c r="S599" s="13" t="s">
        <v>815</v>
      </c>
      <c r="T599" s="15">
        <v>8000</v>
      </c>
      <c r="U599" s="13" t="s">
        <v>44</v>
      </c>
      <c r="V599" s="13" t="s">
        <v>45</v>
      </c>
      <c r="W599" s="12">
        <v>10</v>
      </c>
      <c r="X599" s="33" t="str">
        <f>HYPERLINK("https://www.alpinabook.ru/catalog/book-chernaya-ritorika","ссылка на книгу")</f>
        <v>ссылка на книгу</v>
      </c>
      <c r="Y599" s="34" t="str">
        <f>HYPERLINK("https://api-enni.alpina.ru/FilePrivilegesApproval/140","https://api-enni.alpina.ru/FilePrivilegesApproval/140")</f>
        <v>https://api-enni.alpina.ru/FilePrivilegesApproval/140</v>
      </c>
      <c r="Z599" s="13" t="s">
        <v>392</v>
      </c>
      <c r="AT599" s="1">
        <f t="shared" si="75"/>
        <v>0</v>
      </c>
      <c r="AU599" s="1">
        <f t="shared" si="76"/>
        <v>0</v>
      </c>
      <c r="AV599" s="1">
        <f t="shared" si="77"/>
        <v>0</v>
      </c>
      <c r="AW599" s="1">
        <f t="shared" si="78"/>
        <v>0</v>
      </c>
      <c r="AX599" s="1">
        <f t="shared" si="79"/>
        <v>0</v>
      </c>
    </row>
    <row r="600" spans="1:50" s="1" customFormat="1" ht="24.95" customHeight="1" outlineLevel="3" x14ac:dyDescent="0.2">
      <c r="A600" s="11"/>
      <c r="B600" s="12">
        <v>290</v>
      </c>
      <c r="C600" s="12">
        <v>440</v>
      </c>
      <c r="D600" s="12">
        <v>12586</v>
      </c>
      <c r="E600" s="13" t="s">
        <v>124</v>
      </c>
      <c r="F600" s="13" t="s">
        <v>1956</v>
      </c>
      <c r="G600" s="13" t="s">
        <v>56</v>
      </c>
      <c r="H600" s="13"/>
      <c r="I600" s="12">
        <v>2025</v>
      </c>
      <c r="J600" s="13" t="s">
        <v>1957</v>
      </c>
      <c r="K600" s="12">
        <v>9785961426182</v>
      </c>
      <c r="L600" s="13" t="s">
        <v>1958</v>
      </c>
      <c r="M600" s="12">
        <v>310</v>
      </c>
      <c r="N600" s="14">
        <v>0.21</v>
      </c>
      <c r="O600" s="12">
        <v>120</v>
      </c>
      <c r="P600" s="12">
        <v>170</v>
      </c>
      <c r="Q600" s="12">
        <v>10</v>
      </c>
      <c r="R600" s="13" t="s">
        <v>75</v>
      </c>
      <c r="S600" s="13" t="s">
        <v>815</v>
      </c>
      <c r="T600" s="15">
        <v>5000</v>
      </c>
      <c r="U600" s="13" t="s">
        <v>44</v>
      </c>
      <c r="V600" s="13" t="s">
        <v>64</v>
      </c>
      <c r="W600" s="12">
        <v>10</v>
      </c>
      <c r="X600" s="33" t="str">
        <f>HYPERLINK("https://www.alpinabook.ru/catalog/book-ya-govoryu-menya-slushayut","ссылка на книгу")</f>
        <v>ссылка на книгу</v>
      </c>
      <c r="Y600" s="34" t="str">
        <f>HYPERLINK("https://api-enni.alpina.ru/FilePrivilegesApproval/152","https://api-enni.alpina.ru/FilePrivilegesApproval/152")</f>
        <v>https://api-enni.alpina.ru/FilePrivilegesApproval/152</v>
      </c>
      <c r="Z600" s="13" t="s">
        <v>70</v>
      </c>
      <c r="AT600" s="1">
        <f t="shared" si="75"/>
        <v>0</v>
      </c>
      <c r="AU600" s="1">
        <f t="shared" si="76"/>
        <v>0</v>
      </c>
      <c r="AV600" s="1">
        <f t="shared" si="77"/>
        <v>0</v>
      </c>
      <c r="AW600" s="1">
        <f t="shared" si="78"/>
        <v>0</v>
      </c>
      <c r="AX600" s="1">
        <f t="shared" si="79"/>
        <v>0</v>
      </c>
    </row>
    <row r="601" spans="1:50" ht="11.1" customHeight="1" outlineLevel="2" x14ac:dyDescent="0.2">
      <c r="A601" s="40" t="s">
        <v>1959</v>
      </c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20"/>
    </row>
    <row r="602" spans="1:50" s="1" customFormat="1" ht="21.95" customHeight="1" outlineLevel="3" x14ac:dyDescent="0.2">
      <c r="A602" s="26"/>
      <c r="B602" s="27">
        <v>790</v>
      </c>
      <c r="C602" s="28">
        <v>1190</v>
      </c>
      <c r="D602" s="27">
        <v>29303</v>
      </c>
      <c r="E602" s="29" t="s">
        <v>283</v>
      </c>
      <c r="F602" s="29" t="s">
        <v>1960</v>
      </c>
      <c r="G602" s="29" t="s">
        <v>56</v>
      </c>
      <c r="H602" s="29"/>
      <c r="I602" s="27">
        <v>2024</v>
      </c>
      <c r="J602" s="29" t="s">
        <v>1961</v>
      </c>
      <c r="K602" s="27">
        <v>9785961492170</v>
      </c>
      <c r="L602" s="29" t="s">
        <v>1962</v>
      </c>
      <c r="M602" s="27">
        <v>384</v>
      </c>
      <c r="N602" s="30">
        <v>0.3</v>
      </c>
      <c r="O602" s="27">
        <v>110</v>
      </c>
      <c r="P602" s="27">
        <v>160</v>
      </c>
      <c r="Q602" s="27">
        <v>7</v>
      </c>
      <c r="R602" s="29" t="s">
        <v>82</v>
      </c>
      <c r="S602" s="29"/>
      <c r="T602" s="28">
        <v>3000</v>
      </c>
      <c r="U602" s="29" t="s">
        <v>268</v>
      </c>
      <c r="V602" s="29" t="s">
        <v>64</v>
      </c>
      <c r="W602" s="27">
        <v>20</v>
      </c>
      <c r="X602" s="37" t="str">
        <f>HYPERLINK("https://www.alpinabook.ru/catalog/book-dnevnik-vpechatleniy-na-5-let","ссылка на книгу")</f>
        <v>ссылка на книгу</v>
      </c>
      <c r="Y602" s="38" t="str">
        <f t="shared" ref="Y602:Y624" si="80">HYPERLINK("","")</f>
        <v/>
      </c>
      <c r="Z602" s="29"/>
      <c r="AT602" s="1">
        <f t="shared" ref="AT602:AT649" si="81">IF($A602&lt;&gt;0,1,0)</f>
        <v>0</v>
      </c>
      <c r="AU602" s="1">
        <f t="shared" ref="AU602:AU649" si="82">$A602*$B602</f>
        <v>0</v>
      </c>
      <c r="AV602" s="1">
        <f t="shared" ref="AV602:AV649" si="83">$A602*$N602</f>
        <v>0</v>
      </c>
      <c r="AW602" s="1">
        <f t="shared" ref="AW602:AW649" si="84">IF($Q602=0,0,INT($A602/$Q602))</f>
        <v>0</v>
      </c>
      <c r="AX602" s="1">
        <f t="shared" ref="AX602:AX649" si="85">$A602-$AW602*$Q602</f>
        <v>0</v>
      </c>
    </row>
    <row r="603" spans="1:50" s="1" customFormat="1" ht="21.95" customHeight="1" outlineLevel="3" x14ac:dyDescent="0.2">
      <c r="A603" s="11"/>
      <c r="B603" s="12">
        <v>840</v>
      </c>
      <c r="C603" s="15">
        <v>1290</v>
      </c>
      <c r="D603" s="12">
        <v>23278</v>
      </c>
      <c r="E603" s="13" t="s">
        <v>263</v>
      </c>
      <c r="F603" s="13" t="s">
        <v>1963</v>
      </c>
      <c r="G603" s="13" t="s">
        <v>56</v>
      </c>
      <c r="H603" s="13" t="s">
        <v>164</v>
      </c>
      <c r="I603" s="12">
        <v>2024</v>
      </c>
      <c r="J603" s="13" t="s">
        <v>1964</v>
      </c>
      <c r="K603" s="12">
        <v>9785961472936</v>
      </c>
      <c r="L603" s="13" t="s">
        <v>1965</v>
      </c>
      <c r="M603" s="12">
        <v>304</v>
      </c>
      <c r="N603" s="14">
        <v>0.57999999999999996</v>
      </c>
      <c r="O603" s="12">
        <v>150</v>
      </c>
      <c r="P603" s="12">
        <v>220</v>
      </c>
      <c r="Q603" s="12">
        <v>20</v>
      </c>
      <c r="R603" s="13" t="s">
        <v>43</v>
      </c>
      <c r="S603" s="13" t="s">
        <v>267</v>
      </c>
      <c r="T603" s="15">
        <v>24000</v>
      </c>
      <c r="U603" s="13" t="s">
        <v>268</v>
      </c>
      <c r="V603" s="13" t="s">
        <v>269</v>
      </c>
      <c r="W603" s="12">
        <v>20</v>
      </c>
      <c r="X603" s="33" t="str">
        <f>HYPERLINK("https://www.alpinabook.ru/catalog/book-6-minut-pure","ссылка на книгу")</f>
        <v>ссылка на книгу</v>
      </c>
      <c r="Y603" s="34" t="str">
        <f t="shared" si="80"/>
        <v/>
      </c>
      <c r="Z603" s="13"/>
      <c r="AT603" s="1">
        <f t="shared" si="81"/>
        <v>0</v>
      </c>
      <c r="AU603" s="1">
        <f t="shared" si="82"/>
        <v>0</v>
      </c>
      <c r="AV603" s="1">
        <f t="shared" si="83"/>
        <v>0</v>
      </c>
      <c r="AW603" s="1">
        <f t="shared" si="84"/>
        <v>0</v>
      </c>
      <c r="AX603" s="1">
        <f t="shared" si="85"/>
        <v>0</v>
      </c>
    </row>
    <row r="604" spans="1:50" s="1" customFormat="1" ht="21.95" customHeight="1" outlineLevel="3" x14ac:dyDescent="0.2">
      <c r="A604" s="11"/>
      <c r="B604" s="12">
        <v>840</v>
      </c>
      <c r="C604" s="15">
        <v>1290</v>
      </c>
      <c r="D604" s="12">
        <v>30530</v>
      </c>
      <c r="E604" s="13" t="s">
        <v>263</v>
      </c>
      <c r="F604" s="13" t="s">
        <v>1966</v>
      </c>
      <c r="G604" s="13" t="s">
        <v>56</v>
      </c>
      <c r="H604" s="13" t="s">
        <v>164</v>
      </c>
      <c r="I604" s="12">
        <v>2024</v>
      </c>
      <c r="J604" s="13" t="s">
        <v>1967</v>
      </c>
      <c r="K604" s="12">
        <v>9785961495744</v>
      </c>
      <c r="L604" s="13" t="s">
        <v>1968</v>
      </c>
      <c r="M604" s="12">
        <v>304</v>
      </c>
      <c r="N604" s="14">
        <v>0.56999999999999995</v>
      </c>
      <c r="O604" s="12">
        <v>150</v>
      </c>
      <c r="P604" s="12">
        <v>220</v>
      </c>
      <c r="Q604" s="12">
        <v>20</v>
      </c>
      <c r="R604" s="13" t="s">
        <v>43</v>
      </c>
      <c r="S604" s="13" t="s">
        <v>267</v>
      </c>
      <c r="T604" s="15">
        <v>24000</v>
      </c>
      <c r="U604" s="13" t="s">
        <v>268</v>
      </c>
      <c r="V604" s="13" t="s">
        <v>269</v>
      </c>
      <c r="W604" s="12">
        <v>20</v>
      </c>
      <c r="X604" s="33" t="str">
        <f>HYPERLINK("https://www.alpinabook.ru/catalog/book-6-minut-pure","ссылка на книгу")</f>
        <v>ссылка на книгу</v>
      </c>
      <c r="Y604" s="34" t="str">
        <f t="shared" si="80"/>
        <v/>
      </c>
      <c r="Z604" s="13"/>
      <c r="AT604" s="1">
        <f t="shared" si="81"/>
        <v>0</v>
      </c>
      <c r="AU604" s="1">
        <f t="shared" si="82"/>
        <v>0</v>
      </c>
      <c r="AV604" s="1">
        <f t="shared" si="83"/>
        <v>0</v>
      </c>
      <c r="AW604" s="1">
        <f t="shared" si="84"/>
        <v>0</v>
      </c>
      <c r="AX604" s="1">
        <f t="shared" si="85"/>
        <v>0</v>
      </c>
    </row>
    <row r="605" spans="1:50" s="1" customFormat="1" ht="21.95" customHeight="1" outlineLevel="3" x14ac:dyDescent="0.2">
      <c r="A605" s="11"/>
      <c r="B605" s="12">
        <v>840</v>
      </c>
      <c r="C605" s="15">
        <v>1290</v>
      </c>
      <c r="D605" s="12">
        <v>18980</v>
      </c>
      <c r="E605" s="13" t="s">
        <v>263</v>
      </c>
      <c r="F605" s="13" t="s">
        <v>1969</v>
      </c>
      <c r="G605" s="13" t="s">
        <v>56</v>
      </c>
      <c r="H605" s="13" t="s">
        <v>164</v>
      </c>
      <c r="I605" s="12">
        <v>2024</v>
      </c>
      <c r="J605" s="13" t="s">
        <v>1970</v>
      </c>
      <c r="K605" s="12">
        <v>9785961472929</v>
      </c>
      <c r="L605" s="13" t="s">
        <v>1971</v>
      </c>
      <c r="M605" s="12">
        <v>304</v>
      </c>
      <c r="N605" s="14">
        <v>0.54</v>
      </c>
      <c r="O605" s="12">
        <v>150</v>
      </c>
      <c r="P605" s="12">
        <v>220</v>
      </c>
      <c r="Q605" s="12">
        <v>20</v>
      </c>
      <c r="R605" s="13" t="s">
        <v>43</v>
      </c>
      <c r="S605" s="13" t="s">
        <v>267</v>
      </c>
      <c r="T605" s="15">
        <v>24000</v>
      </c>
      <c r="U605" s="13" t="s">
        <v>268</v>
      </c>
      <c r="V605" s="13" t="s">
        <v>269</v>
      </c>
      <c r="W605" s="12">
        <v>20</v>
      </c>
      <c r="X605" s="33" t="str">
        <f>HYPERLINK("https://www.alpinabook.ru/catalog/book-6-minut-pure","ссылка на книгу")</f>
        <v>ссылка на книгу</v>
      </c>
      <c r="Y605" s="34" t="str">
        <f t="shared" si="80"/>
        <v/>
      </c>
      <c r="Z605" s="13"/>
      <c r="AT605" s="1">
        <f t="shared" si="81"/>
        <v>0</v>
      </c>
      <c r="AU605" s="1">
        <f t="shared" si="82"/>
        <v>0</v>
      </c>
      <c r="AV605" s="1">
        <f t="shared" si="83"/>
        <v>0</v>
      </c>
      <c r="AW605" s="1">
        <f t="shared" si="84"/>
        <v>0</v>
      </c>
      <c r="AX605" s="1">
        <f t="shared" si="85"/>
        <v>0</v>
      </c>
    </row>
    <row r="606" spans="1:50" s="1" customFormat="1" ht="21.95" customHeight="1" outlineLevel="3" x14ac:dyDescent="0.2">
      <c r="A606" s="11"/>
      <c r="B606" s="12">
        <v>840</v>
      </c>
      <c r="C606" s="15">
        <v>1290</v>
      </c>
      <c r="D606" s="12">
        <v>18979</v>
      </c>
      <c r="E606" s="13" t="s">
        <v>263</v>
      </c>
      <c r="F606" s="13" t="s">
        <v>1972</v>
      </c>
      <c r="G606" s="13" t="s">
        <v>56</v>
      </c>
      <c r="H606" s="13" t="s">
        <v>164</v>
      </c>
      <c r="I606" s="12">
        <v>2024</v>
      </c>
      <c r="J606" s="13" t="s">
        <v>1973</v>
      </c>
      <c r="K606" s="12">
        <v>9785961441932</v>
      </c>
      <c r="L606" s="13" t="s">
        <v>1974</v>
      </c>
      <c r="M606" s="12">
        <v>304</v>
      </c>
      <c r="N606" s="14">
        <v>0.54</v>
      </c>
      <c r="O606" s="12">
        <v>150</v>
      </c>
      <c r="P606" s="12">
        <v>220</v>
      </c>
      <c r="Q606" s="12">
        <v>20</v>
      </c>
      <c r="R606" s="13" t="s">
        <v>43</v>
      </c>
      <c r="S606" s="13" t="s">
        <v>267</v>
      </c>
      <c r="T606" s="15">
        <v>24000</v>
      </c>
      <c r="U606" s="13" t="s">
        <v>268</v>
      </c>
      <c r="V606" s="13" t="s">
        <v>269</v>
      </c>
      <c r="W606" s="12">
        <v>20</v>
      </c>
      <c r="X606" s="33" t="str">
        <f>HYPERLINK("https://www.alpinabook.ru/catalog/book-6-minut-pure","ссылка на книгу")</f>
        <v>ссылка на книгу</v>
      </c>
      <c r="Y606" s="34" t="str">
        <f t="shared" si="80"/>
        <v/>
      </c>
      <c r="Z606" s="13"/>
      <c r="AT606" s="1">
        <f t="shared" si="81"/>
        <v>0</v>
      </c>
      <c r="AU606" s="1">
        <f t="shared" si="82"/>
        <v>0</v>
      </c>
      <c r="AV606" s="1">
        <f t="shared" si="83"/>
        <v>0</v>
      </c>
      <c r="AW606" s="1">
        <f t="shared" si="84"/>
        <v>0</v>
      </c>
      <c r="AX606" s="1">
        <f t="shared" si="85"/>
        <v>0</v>
      </c>
    </row>
    <row r="607" spans="1:50" s="1" customFormat="1" ht="21.95" customHeight="1" outlineLevel="3" x14ac:dyDescent="0.2">
      <c r="A607" s="11"/>
      <c r="B607" s="12">
        <v>640</v>
      </c>
      <c r="C607" s="12">
        <v>940</v>
      </c>
      <c r="D607" s="12">
        <v>25510</v>
      </c>
      <c r="E607" s="13" t="s">
        <v>263</v>
      </c>
      <c r="F607" s="13" t="s">
        <v>1975</v>
      </c>
      <c r="G607" s="13" t="s">
        <v>56</v>
      </c>
      <c r="H607" s="13" t="s">
        <v>164</v>
      </c>
      <c r="I607" s="12">
        <v>2024</v>
      </c>
      <c r="J607" s="13" t="s">
        <v>1976</v>
      </c>
      <c r="K607" s="12">
        <v>9785961483840</v>
      </c>
      <c r="L607" s="13" t="s">
        <v>1977</v>
      </c>
      <c r="M607" s="12">
        <v>304</v>
      </c>
      <c r="N607" s="14">
        <v>0.48</v>
      </c>
      <c r="O607" s="12">
        <v>150</v>
      </c>
      <c r="P607" s="12">
        <v>220</v>
      </c>
      <c r="Q607" s="12">
        <v>6</v>
      </c>
      <c r="R607" s="13" t="s">
        <v>43</v>
      </c>
      <c r="S607" s="13" t="s">
        <v>267</v>
      </c>
      <c r="T607" s="15">
        <v>15000</v>
      </c>
      <c r="U607" s="13" t="s">
        <v>268</v>
      </c>
      <c r="V607" s="13" t="s">
        <v>269</v>
      </c>
      <c r="W607" s="12">
        <v>20</v>
      </c>
      <c r="X607" s="33" t="str">
        <f>HYPERLINK("https://www.alpinabook.ru/catalog/book-6-minut-pure-by-gunta","ссылка на книгу")</f>
        <v>ссылка на книгу</v>
      </c>
      <c r="Y607" s="34" t="str">
        <f t="shared" si="80"/>
        <v/>
      </c>
      <c r="Z607" s="13"/>
      <c r="AT607" s="1">
        <f t="shared" si="81"/>
        <v>0</v>
      </c>
      <c r="AU607" s="1">
        <f t="shared" si="82"/>
        <v>0</v>
      </c>
      <c r="AV607" s="1">
        <f t="shared" si="83"/>
        <v>0</v>
      </c>
      <c r="AW607" s="1">
        <f t="shared" si="84"/>
        <v>0</v>
      </c>
      <c r="AX607" s="1">
        <f t="shared" si="85"/>
        <v>0</v>
      </c>
    </row>
    <row r="608" spans="1:50" s="1" customFormat="1" ht="21.95" customHeight="1" outlineLevel="3" x14ac:dyDescent="0.2">
      <c r="A608" s="11"/>
      <c r="B608" s="12">
        <v>890</v>
      </c>
      <c r="C608" s="15">
        <v>1090</v>
      </c>
      <c r="D608" s="12">
        <v>29009</v>
      </c>
      <c r="E608" s="13" t="s">
        <v>263</v>
      </c>
      <c r="F608" s="13" t="s">
        <v>1978</v>
      </c>
      <c r="G608" s="13" t="s">
        <v>56</v>
      </c>
      <c r="H608" s="13" t="s">
        <v>164</v>
      </c>
      <c r="I608" s="12">
        <v>2025</v>
      </c>
      <c r="J608" s="13" t="s">
        <v>1979</v>
      </c>
      <c r="K608" s="12">
        <v>9785961491012</v>
      </c>
      <c r="L608" s="13" t="s">
        <v>1980</v>
      </c>
      <c r="M608" s="12">
        <v>272</v>
      </c>
      <c r="N608" s="14">
        <v>0.54</v>
      </c>
      <c r="O608" s="12">
        <v>150</v>
      </c>
      <c r="P608" s="12">
        <v>220</v>
      </c>
      <c r="Q608" s="12">
        <v>10</v>
      </c>
      <c r="R608" s="13" t="s">
        <v>43</v>
      </c>
      <c r="S608" s="13" t="s">
        <v>267</v>
      </c>
      <c r="T608" s="15">
        <v>10000</v>
      </c>
      <c r="U608" s="13" t="s">
        <v>268</v>
      </c>
      <c r="V608" s="13" t="s">
        <v>89</v>
      </c>
      <c r="W608" s="12">
        <v>20</v>
      </c>
      <c r="X608" s="33" t="str">
        <f>HYPERLINK("https://www.alpinabook.ru/catalog/book-6-minut-dnevnik-sna","ссылка на книгу")</f>
        <v>ссылка на книгу</v>
      </c>
      <c r="Y608" s="34" t="str">
        <f t="shared" si="80"/>
        <v/>
      </c>
      <c r="Z608" s="13"/>
      <c r="AT608" s="1">
        <f t="shared" si="81"/>
        <v>0</v>
      </c>
      <c r="AU608" s="1">
        <f t="shared" si="82"/>
        <v>0</v>
      </c>
      <c r="AV608" s="1">
        <f t="shared" si="83"/>
        <v>0</v>
      </c>
      <c r="AW608" s="1">
        <f t="shared" si="84"/>
        <v>0</v>
      </c>
      <c r="AX608" s="1">
        <f t="shared" si="85"/>
        <v>0</v>
      </c>
    </row>
    <row r="609" spans="1:50" s="1" customFormat="1" ht="21.95" customHeight="1" outlineLevel="3" x14ac:dyDescent="0.2">
      <c r="A609" s="11"/>
      <c r="B609" s="12">
        <v>840</v>
      </c>
      <c r="C609" s="15">
        <v>1290</v>
      </c>
      <c r="D609" s="12">
        <v>18576</v>
      </c>
      <c r="E609" s="13" t="s">
        <v>263</v>
      </c>
      <c r="F609" s="13" t="s">
        <v>1981</v>
      </c>
      <c r="G609" s="13" t="s">
        <v>56</v>
      </c>
      <c r="H609" s="13" t="s">
        <v>164</v>
      </c>
      <c r="I609" s="12">
        <v>2024</v>
      </c>
      <c r="J609" s="13" t="s">
        <v>1982</v>
      </c>
      <c r="K609" s="12">
        <v>9785961438031</v>
      </c>
      <c r="L609" s="13" t="s">
        <v>1983</v>
      </c>
      <c r="M609" s="12">
        <v>296</v>
      </c>
      <c r="N609" s="14">
        <v>0.53</v>
      </c>
      <c r="O609" s="12">
        <v>147</v>
      </c>
      <c r="P609" s="12">
        <v>215</v>
      </c>
      <c r="Q609" s="12">
        <v>20</v>
      </c>
      <c r="R609" s="13" t="s">
        <v>43</v>
      </c>
      <c r="S609" s="13" t="s">
        <v>267</v>
      </c>
      <c r="T609" s="15">
        <v>24000</v>
      </c>
      <c r="U609" s="13" t="s">
        <v>268</v>
      </c>
      <c r="V609" s="13" t="s">
        <v>269</v>
      </c>
      <c r="W609" s="12">
        <v>20</v>
      </c>
      <c r="X609" s="33" t="str">
        <f>HYPERLINK("https://www.alpinabook.ru/catalog/book-6-minut-dnevnik","ссылка на книгу")</f>
        <v>ссылка на книгу</v>
      </c>
      <c r="Y609" s="34" t="str">
        <f t="shared" si="80"/>
        <v/>
      </c>
      <c r="Z609" s="13"/>
      <c r="AT609" s="1">
        <f t="shared" si="81"/>
        <v>0</v>
      </c>
      <c r="AU609" s="1">
        <f t="shared" si="82"/>
        <v>0</v>
      </c>
      <c r="AV609" s="1">
        <f t="shared" si="83"/>
        <v>0</v>
      </c>
      <c r="AW609" s="1">
        <f t="shared" si="84"/>
        <v>0</v>
      </c>
      <c r="AX609" s="1">
        <f t="shared" si="85"/>
        <v>0</v>
      </c>
    </row>
    <row r="610" spans="1:50" s="1" customFormat="1" ht="21.95" customHeight="1" outlineLevel="3" x14ac:dyDescent="0.2">
      <c r="A610" s="11"/>
      <c r="B610" s="12">
        <v>840</v>
      </c>
      <c r="C610" s="15">
        <v>1290</v>
      </c>
      <c r="D610" s="12">
        <v>18566</v>
      </c>
      <c r="E610" s="13" t="s">
        <v>263</v>
      </c>
      <c r="F610" s="13" t="s">
        <v>1984</v>
      </c>
      <c r="G610" s="13" t="s">
        <v>56</v>
      </c>
      <c r="H610" s="13" t="s">
        <v>164</v>
      </c>
      <c r="I610" s="12">
        <v>2024</v>
      </c>
      <c r="J610" s="13" t="s">
        <v>1985</v>
      </c>
      <c r="K610" s="12">
        <v>9785961438024</v>
      </c>
      <c r="L610" s="13" t="s">
        <v>1986</v>
      </c>
      <c r="M610" s="12">
        <v>296</v>
      </c>
      <c r="N610" s="14">
        <v>0.52</v>
      </c>
      <c r="O610" s="12">
        <v>150</v>
      </c>
      <c r="P610" s="12">
        <v>220</v>
      </c>
      <c r="Q610" s="12">
        <v>20</v>
      </c>
      <c r="R610" s="13" t="s">
        <v>43</v>
      </c>
      <c r="S610" s="13" t="s">
        <v>267</v>
      </c>
      <c r="T610" s="15">
        <v>24000</v>
      </c>
      <c r="U610" s="13" t="s">
        <v>268</v>
      </c>
      <c r="V610" s="13" t="s">
        <v>269</v>
      </c>
      <c r="W610" s="12">
        <v>20</v>
      </c>
      <c r="X610" s="33" t="str">
        <f>HYPERLINK("https://www.alpinabook.ru/catalog/book-6-minut-dnevnik","ссылка на книгу")</f>
        <v>ссылка на книгу</v>
      </c>
      <c r="Y610" s="34" t="str">
        <f t="shared" si="80"/>
        <v/>
      </c>
      <c r="Z610" s="13"/>
      <c r="AT610" s="1">
        <f t="shared" si="81"/>
        <v>0</v>
      </c>
      <c r="AU610" s="1">
        <f t="shared" si="82"/>
        <v>0</v>
      </c>
      <c r="AV610" s="1">
        <f t="shared" si="83"/>
        <v>0</v>
      </c>
      <c r="AW610" s="1">
        <f t="shared" si="84"/>
        <v>0</v>
      </c>
      <c r="AX610" s="1">
        <f t="shared" si="85"/>
        <v>0</v>
      </c>
    </row>
    <row r="611" spans="1:50" s="1" customFormat="1" ht="21.95" customHeight="1" outlineLevel="3" x14ac:dyDescent="0.2">
      <c r="A611" s="11"/>
      <c r="B611" s="12">
        <v>640</v>
      </c>
      <c r="C611" s="12">
        <v>940</v>
      </c>
      <c r="D611" s="12">
        <v>25508</v>
      </c>
      <c r="E611" s="13" t="s">
        <v>263</v>
      </c>
      <c r="F611" s="13" t="s">
        <v>1987</v>
      </c>
      <c r="G611" s="13" t="s">
        <v>56</v>
      </c>
      <c r="H611" s="13" t="s">
        <v>164</v>
      </c>
      <c r="I611" s="12">
        <v>2024</v>
      </c>
      <c r="J611" s="13" t="s">
        <v>1988</v>
      </c>
      <c r="K611" s="12">
        <v>9785961483871</v>
      </c>
      <c r="L611" s="13" t="s">
        <v>1989</v>
      </c>
      <c r="M611" s="12">
        <v>296</v>
      </c>
      <c r="N611" s="14">
        <v>0.47</v>
      </c>
      <c r="O611" s="12">
        <v>150</v>
      </c>
      <c r="P611" s="12">
        <v>220</v>
      </c>
      <c r="Q611" s="12">
        <v>7</v>
      </c>
      <c r="R611" s="13" t="s">
        <v>43</v>
      </c>
      <c r="S611" s="13" t="s">
        <v>267</v>
      </c>
      <c r="T611" s="15">
        <v>6000</v>
      </c>
      <c r="U611" s="13" t="s">
        <v>268</v>
      </c>
      <c r="V611" s="13" t="s">
        <v>269</v>
      </c>
      <c r="W611" s="12">
        <v>20</v>
      </c>
      <c r="X611" s="33" t="str">
        <f>HYPERLINK("https://www.alpinabook.ru/catalog/book-6-minut-dnevnik-uspekha-by-gunta","ссылка на книгу")</f>
        <v>ссылка на книгу</v>
      </c>
      <c r="Y611" s="34" t="str">
        <f t="shared" si="80"/>
        <v/>
      </c>
      <c r="Z611" s="13"/>
      <c r="AT611" s="1">
        <f t="shared" si="81"/>
        <v>0</v>
      </c>
      <c r="AU611" s="1">
        <f t="shared" si="82"/>
        <v>0</v>
      </c>
      <c r="AV611" s="1">
        <f t="shared" si="83"/>
        <v>0</v>
      </c>
      <c r="AW611" s="1">
        <f t="shared" si="84"/>
        <v>0</v>
      </c>
      <c r="AX611" s="1">
        <f t="shared" si="85"/>
        <v>0</v>
      </c>
    </row>
    <row r="612" spans="1:50" s="1" customFormat="1" ht="21.95" customHeight="1" outlineLevel="3" x14ac:dyDescent="0.2">
      <c r="A612" s="11"/>
      <c r="B612" s="12">
        <v>840</v>
      </c>
      <c r="C612" s="15">
        <v>1290</v>
      </c>
      <c r="D612" s="12">
        <v>18111</v>
      </c>
      <c r="E612" s="13" t="s">
        <v>263</v>
      </c>
      <c r="F612" s="13" t="s">
        <v>264</v>
      </c>
      <c r="G612" s="13" t="s">
        <v>56</v>
      </c>
      <c r="H612" s="13" t="s">
        <v>164</v>
      </c>
      <c r="I612" s="12">
        <v>2024</v>
      </c>
      <c r="J612" s="13" t="s">
        <v>265</v>
      </c>
      <c r="K612" s="12">
        <v>9785961433265</v>
      </c>
      <c r="L612" s="13" t="s">
        <v>266</v>
      </c>
      <c r="M612" s="12">
        <v>286</v>
      </c>
      <c r="N612" s="14">
        <v>0.52</v>
      </c>
      <c r="O612" s="12">
        <v>150</v>
      </c>
      <c r="P612" s="12">
        <v>215</v>
      </c>
      <c r="Q612" s="12">
        <v>20</v>
      </c>
      <c r="R612" s="13" t="s">
        <v>43</v>
      </c>
      <c r="S612" s="13" t="s">
        <v>267</v>
      </c>
      <c r="T612" s="15">
        <v>24000</v>
      </c>
      <c r="U612" s="13" t="s">
        <v>268</v>
      </c>
      <c r="V612" s="13" t="s">
        <v>269</v>
      </c>
      <c r="W612" s="12">
        <v>20</v>
      </c>
      <c r="X612" s="33" t="str">
        <f t="shared" ref="X612:X619" si="86">HYPERLINK("https://www.alpinabook.ru/catalog/book-6-minut","ссылка на книгу")</f>
        <v>ссылка на книгу</v>
      </c>
      <c r="Y612" s="34" t="str">
        <f t="shared" si="80"/>
        <v/>
      </c>
      <c r="Z612" s="13"/>
      <c r="AT612" s="1">
        <f t="shared" si="81"/>
        <v>0</v>
      </c>
      <c r="AU612" s="1">
        <f t="shared" si="82"/>
        <v>0</v>
      </c>
      <c r="AV612" s="1">
        <f t="shared" si="83"/>
        <v>0</v>
      </c>
      <c r="AW612" s="1">
        <f t="shared" si="84"/>
        <v>0</v>
      </c>
      <c r="AX612" s="1">
        <f t="shared" si="85"/>
        <v>0</v>
      </c>
    </row>
    <row r="613" spans="1:50" s="1" customFormat="1" ht="21.95" customHeight="1" outlineLevel="3" x14ac:dyDescent="0.2">
      <c r="A613" s="11"/>
      <c r="B613" s="12">
        <v>840</v>
      </c>
      <c r="C613" s="15">
        <v>1290</v>
      </c>
      <c r="D613" s="12">
        <v>19281</v>
      </c>
      <c r="E613" s="13" t="s">
        <v>263</v>
      </c>
      <c r="F613" s="13" t="s">
        <v>1990</v>
      </c>
      <c r="G613" s="13" t="s">
        <v>56</v>
      </c>
      <c r="H613" s="13" t="s">
        <v>164</v>
      </c>
      <c r="I613" s="12">
        <v>2024</v>
      </c>
      <c r="J613" s="13" t="s">
        <v>1991</v>
      </c>
      <c r="K613" s="12">
        <v>9785961438970</v>
      </c>
      <c r="L613" s="13" t="s">
        <v>1992</v>
      </c>
      <c r="M613" s="12">
        <v>286</v>
      </c>
      <c r="N613" s="14">
        <v>0.52</v>
      </c>
      <c r="O613" s="12">
        <v>150</v>
      </c>
      <c r="P613" s="12">
        <v>215</v>
      </c>
      <c r="Q613" s="12">
        <v>20</v>
      </c>
      <c r="R613" s="13" t="s">
        <v>43</v>
      </c>
      <c r="S613" s="13" t="s">
        <v>267</v>
      </c>
      <c r="T613" s="15">
        <v>24000</v>
      </c>
      <c r="U613" s="13" t="s">
        <v>268</v>
      </c>
      <c r="V613" s="13" t="s">
        <v>269</v>
      </c>
      <c r="W613" s="12">
        <v>20</v>
      </c>
      <c r="X613" s="33" t="str">
        <f t="shared" si="86"/>
        <v>ссылка на книгу</v>
      </c>
      <c r="Y613" s="34" t="str">
        <f t="shared" si="80"/>
        <v/>
      </c>
      <c r="Z613" s="13"/>
      <c r="AT613" s="1">
        <f t="shared" si="81"/>
        <v>0</v>
      </c>
      <c r="AU613" s="1">
        <f t="shared" si="82"/>
        <v>0</v>
      </c>
      <c r="AV613" s="1">
        <f t="shared" si="83"/>
        <v>0</v>
      </c>
      <c r="AW613" s="1">
        <f t="shared" si="84"/>
        <v>0</v>
      </c>
      <c r="AX613" s="1">
        <f t="shared" si="85"/>
        <v>0</v>
      </c>
    </row>
    <row r="614" spans="1:50" s="1" customFormat="1" ht="21.95" customHeight="1" outlineLevel="3" x14ac:dyDescent="0.2">
      <c r="A614" s="11"/>
      <c r="B614" s="12">
        <v>840</v>
      </c>
      <c r="C614" s="15">
        <v>1290</v>
      </c>
      <c r="D614" s="12">
        <v>18144</v>
      </c>
      <c r="E614" s="13" t="s">
        <v>263</v>
      </c>
      <c r="F614" s="13" t="s">
        <v>1993</v>
      </c>
      <c r="G614" s="13" t="s">
        <v>56</v>
      </c>
      <c r="H614" s="13" t="s">
        <v>164</v>
      </c>
      <c r="I614" s="12">
        <v>2024</v>
      </c>
      <c r="J614" s="13" t="s">
        <v>1994</v>
      </c>
      <c r="K614" s="12">
        <v>9785961433647</v>
      </c>
      <c r="L614" s="13" t="s">
        <v>1995</v>
      </c>
      <c r="M614" s="12">
        <v>286</v>
      </c>
      <c r="N614" s="14">
        <v>0.52</v>
      </c>
      <c r="O614" s="12">
        <v>150</v>
      </c>
      <c r="P614" s="12">
        <v>220</v>
      </c>
      <c r="Q614" s="12">
        <v>20</v>
      </c>
      <c r="R614" s="13" t="s">
        <v>43</v>
      </c>
      <c r="S614" s="13" t="s">
        <v>267</v>
      </c>
      <c r="T614" s="15">
        <v>24000</v>
      </c>
      <c r="U614" s="13" t="s">
        <v>268</v>
      </c>
      <c r="V614" s="13" t="s">
        <v>269</v>
      </c>
      <c r="W614" s="12">
        <v>20</v>
      </c>
      <c r="X614" s="33" t="str">
        <f t="shared" si="86"/>
        <v>ссылка на книгу</v>
      </c>
      <c r="Y614" s="34" t="str">
        <f t="shared" si="80"/>
        <v/>
      </c>
      <c r="Z614" s="13"/>
      <c r="AT614" s="1">
        <f t="shared" si="81"/>
        <v>0</v>
      </c>
      <c r="AU614" s="1">
        <f t="shared" si="82"/>
        <v>0</v>
      </c>
      <c r="AV614" s="1">
        <f t="shared" si="83"/>
        <v>0</v>
      </c>
      <c r="AW614" s="1">
        <f t="shared" si="84"/>
        <v>0</v>
      </c>
      <c r="AX614" s="1">
        <f t="shared" si="85"/>
        <v>0</v>
      </c>
    </row>
    <row r="615" spans="1:50" s="1" customFormat="1" ht="21.95" customHeight="1" outlineLevel="3" x14ac:dyDescent="0.2">
      <c r="A615" s="11"/>
      <c r="B615" s="12">
        <v>840</v>
      </c>
      <c r="C615" s="15">
        <v>1290</v>
      </c>
      <c r="D615" s="12">
        <v>19278</v>
      </c>
      <c r="E615" s="13" t="s">
        <v>263</v>
      </c>
      <c r="F615" s="13" t="s">
        <v>1996</v>
      </c>
      <c r="G615" s="13" t="s">
        <v>56</v>
      </c>
      <c r="H615" s="13" t="s">
        <v>164</v>
      </c>
      <c r="I615" s="12">
        <v>2024</v>
      </c>
      <c r="J615" s="13" t="s">
        <v>1997</v>
      </c>
      <c r="K615" s="12">
        <v>9785961438925</v>
      </c>
      <c r="L615" s="13" t="s">
        <v>1998</v>
      </c>
      <c r="M615" s="12">
        <v>286</v>
      </c>
      <c r="N615" s="14">
        <v>0.51</v>
      </c>
      <c r="O615" s="12">
        <v>150</v>
      </c>
      <c r="P615" s="12">
        <v>220</v>
      </c>
      <c r="Q615" s="12">
        <v>20</v>
      </c>
      <c r="R615" s="13" t="s">
        <v>43</v>
      </c>
      <c r="S615" s="13" t="s">
        <v>267</v>
      </c>
      <c r="T615" s="15">
        <v>24000</v>
      </c>
      <c r="U615" s="13" t="s">
        <v>268</v>
      </c>
      <c r="V615" s="13" t="s">
        <v>269</v>
      </c>
      <c r="W615" s="12">
        <v>20</v>
      </c>
      <c r="X615" s="33" t="str">
        <f t="shared" si="86"/>
        <v>ссылка на книгу</v>
      </c>
      <c r="Y615" s="34" t="str">
        <f t="shared" si="80"/>
        <v/>
      </c>
      <c r="Z615" s="13"/>
      <c r="AT615" s="1">
        <f t="shared" si="81"/>
        <v>0</v>
      </c>
      <c r="AU615" s="1">
        <f t="shared" si="82"/>
        <v>0</v>
      </c>
      <c r="AV615" s="1">
        <f t="shared" si="83"/>
        <v>0</v>
      </c>
      <c r="AW615" s="1">
        <f t="shared" si="84"/>
        <v>0</v>
      </c>
      <c r="AX615" s="1">
        <f t="shared" si="85"/>
        <v>0</v>
      </c>
    </row>
    <row r="616" spans="1:50" s="1" customFormat="1" ht="21.95" customHeight="1" outlineLevel="3" x14ac:dyDescent="0.2">
      <c r="A616" s="11"/>
      <c r="B616" s="12">
        <v>840</v>
      </c>
      <c r="C616" s="15">
        <v>1290</v>
      </c>
      <c r="D616" s="12">
        <v>19277</v>
      </c>
      <c r="E616" s="13" t="s">
        <v>263</v>
      </c>
      <c r="F616" s="13" t="s">
        <v>1999</v>
      </c>
      <c r="G616" s="13" t="s">
        <v>56</v>
      </c>
      <c r="H616" s="13" t="s">
        <v>164</v>
      </c>
      <c r="I616" s="12">
        <v>2024</v>
      </c>
      <c r="J616" s="13" t="s">
        <v>2000</v>
      </c>
      <c r="K616" s="12">
        <v>9785961438901</v>
      </c>
      <c r="L616" s="13" t="s">
        <v>2001</v>
      </c>
      <c r="M616" s="12">
        <v>286</v>
      </c>
      <c r="N616" s="14">
        <v>0.52</v>
      </c>
      <c r="O616" s="12">
        <v>150</v>
      </c>
      <c r="P616" s="12">
        <v>220</v>
      </c>
      <c r="Q616" s="12">
        <v>20</v>
      </c>
      <c r="R616" s="13" t="s">
        <v>43</v>
      </c>
      <c r="S616" s="13" t="s">
        <v>267</v>
      </c>
      <c r="T616" s="15">
        <v>24000</v>
      </c>
      <c r="U616" s="13" t="s">
        <v>268</v>
      </c>
      <c r="V616" s="13" t="s">
        <v>269</v>
      </c>
      <c r="W616" s="12">
        <v>20</v>
      </c>
      <c r="X616" s="33" t="str">
        <f t="shared" si="86"/>
        <v>ссылка на книгу</v>
      </c>
      <c r="Y616" s="34" t="str">
        <f t="shared" si="80"/>
        <v/>
      </c>
      <c r="Z616" s="13"/>
      <c r="AT616" s="1">
        <f t="shared" si="81"/>
        <v>0</v>
      </c>
      <c r="AU616" s="1">
        <f t="shared" si="82"/>
        <v>0</v>
      </c>
      <c r="AV616" s="1">
        <f t="shared" si="83"/>
        <v>0</v>
      </c>
      <c r="AW616" s="1">
        <f t="shared" si="84"/>
        <v>0</v>
      </c>
      <c r="AX616" s="1">
        <f t="shared" si="85"/>
        <v>0</v>
      </c>
    </row>
    <row r="617" spans="1:50" s="1" customFormat="1" ht="21.95" customHeight="1" outlineLevel="3" x14ac:dyDescent="0.2">
      <c r="A617" s="11"/>
      <c r="B617" s="12">
        <v>840</v>
      </c>
      <c r="C617" s="15">
        <v>1290</v>
      </c>
      <c r="D617" s="12">
        <v>19276</v>
      </c>
      <c r="E617" s="13" t="s">
        <v>263</v>
      </c>
      <c r="F617" s="13" t="s">
        <v>2002</v>
      </c>
      <c r="G617" s="13" t="s">
        <v>56</v>
      </c>
      <c r="H617" s="13" t="s">
        <v>164</v>
      </c>
      <c r="I617" s="12">
        <v>2024</v>
      </c>
      <c r="J617" s="13" t="s">
        <v>2003</v>
      </c>
      <c r="K617" s="12">
        <v>9785961438895</v>
      </c>
      <c r="L617" s="13" t="s">
        <v>2004</v>
      </c>
      <c r="M617" s="12">
        <v>286</v>
      </c>
      <c r="N617" s="14">
        <v>0.51</v>
      </c>
      <c r="O617" s="12">
        <v>150</v>
      </c>
      <c r="P617" s="12">
        <v>220</v>
      </c>
      <c r="Q617" s="12">
        <v>20</v>
      </c>
      <c r="R617" s="13" t="s">
        <v>43</v>
      </c>
      <c r="S617" s="13" t="s">
        <v>267</v>
      </c>
      <c r="T617" s="15">
        <v>24000</v>
      </c>
      <c r="U617" s="13" t="s">
        <v>268</v>
      </c>
      <c r="V617" s="13" t="s">
        <v>269</v>
      </c>
      <c r="W617" s="12">
        <v>20</v>
      </c>
      <c r="X617" s="33" t="str">
        <f t="shared" si="86"/>
        <v>ссылка на книгу</v>
      </c>
      <c r="Y617" s="34" t="str">
        <f t="shared" si="80"/>
        <v/>
      </c>
      <c r="Z617" s="13"/>
      <c r="AT617" s="1">
        <f t="shared" si="81"/>
        <v>0</v>
      </c>
      <c r="AU617" s="1">
        <f t="shared" si="82"/>
        <v>0</v>
      </c>
      <c r="AV617" s="1">
        <f t="shared" si="83"/>
        <v>0</v>
      </c>
      <c r="AW617" s="1">
        <f t="shared" si="84"/>
        <v>0</v>
      </c>
      <c r="AX617" s="1">
        <f t="shared" si="85"/>
        <v>0</v>
      </c>
    </row>
    <row r="618" spans="1:50" s="1" customFormat="1" ht="21.95" customHeight="1" outlineLevel="3" x14ac:dyDescent="0.2">
      <c r="A618" s="11"/>
      <c r="B618" s="12">
        <v>840</v>
      </c>
      <c r="C618" s="15">
        <v>1290</v>
      </c>
      <c r="D618" s="12">
        <v>11340</v>
      </c>
      <c r="E618" s="13" t="s">
        <v>263</v>
      </c>
      <c r="F618" s="13" t="s">
        <v>2005</v>
      </c>
      <c r="G618" s="13" t="s">
        <v>56</v>
      </c>
      <c r="H618" s="13" t="s">
        <v>164</v>
      </c>
      <c r="I618" s="12">
        <v>2024</v>
      </c>
      <c r="J618" s="13" t="s">
        <v>2006</v>
      </c>
      <c r="K618" s="12">
        <v>9785961421293</v>
      </c>
      <c r="L618" s="13" t="s">
        <v>2007</v>
      </c>
      <c r="M618" s="12">
        <v>286</v>
      </c>
      <c r="N618" s="14">
        <v>0.51</v>
      </c>
      <c r="O618" s="12">
        <v>150</v>
      </c>
      <c r="P618" s="12">
        <v>220</v>
      </c>
      <c r="Q618" s="12">
        <v>20</v>
      </c>
      <c r="R618" s="13" t="s">
        <v>43</v>
      </c>
      <c r="S618" s="13" t="s">
        <v>267</v>
      </c>
      <c r="T618" s="15">
        <v>24000</v>
      </c>
      <c r="U618" s="13" t="s">
        <v>268</v>
      </c>
      <c r="V618" s="13" t="s">
        <v>269</v>
      </c>
      <c r="W618" s="12">
        <v>20</v>
      </c>
      <c r="X618" s="33" t="str">
        <f t="shared" si="86"/>
        <v>ссылка на книгу</v>
      </c>
      <c r="Y618" s="34" t="str">
        <f t="shared" si="80"/>
        <v/>
      </c>
      <c r="Z618" s="13"/>
      <c r="AT618" s="1">
        <f t="shared" si="81"/>
        <v>0</v>
      </c>
      <c r="AU618" s="1">
        <f t="shared" si="82"/>
        <v>0</v>
      </c>
      <c r="AV618" s="1">
        <f t="shared" si="83"/>
        <v>0</v>
      </c>
      <c r="AW618" s="1">
        <f t="shared" si="84"/>
        <v>0</v>
      </c>
      <c r="AX618" s="1">
        <f t="shared" si="85"/>
        <v>0</v>
      </c>
    </row>
    <row r="619" spans="1:50" s="1" customFormat="1" ht="21.95" customHeight="1" outlineLevel="3" x14ac:dyDescent="0.2">
      <c r="A619" s="11"/>
      <c r="B619" s="12">
        <v>840</v>
      </c>
      <c r="C619" s="15">
        <v>1290</v>
      </c>
      <c r="D619" s="12">
        <v>11341</v>
      </c>
      <c r="E619" s="13" t="s">
        <v>263</v>
      </c>
      <c r="F619" s="13" t="s">
        <v>270</v>
      </c>
      <c r="G619" s="13" t="s">
        <v>56</v>
      </c>
      <c r="H619" s="13" t="s">
        <v>164</v>
      </c>
      <c r="I619" s="12">
        <v>2024</v>
      </c>
      <c r="J619" s="13" t="s">
        <v>271</v>
      </c>
      <c r="K619" s="12">
        <v>9785961421309</v>
      </c>
      <c r="L619" s="13" t="s">
        <v>272</v>
      </c>
      <c r="M619" s="12">
        <v>286</v>
      </c>
      <c r="N619" s="14">
        <v>0.51</v>
      </c>
      <c r="O619" s="12">
        <v>150</v>
      </c>
      <c r="P619" s="12">
        <v>220</v>
      </c>
      <c r="Q619" s="12">
        <v>20</v>
      </c>
      <c r="R619" s="13" t="s">
        <v>43</v>
      </c>
      <c r="S619" s="13" t="s">
        <v>267</v>
      </c>
      <c r="T619" s="15">
        <v>24000</v>
      </c>
      <c r="U619" s="13" t="s">
        <v>268</v>
      </c>
      <c r="V619" s="13" t="s">
        <v>269</v>
      </c>
      <c r="W619" s="12">
        <v>20</v>
      </c>
      <c r="X619" s="33" t="str">
        <f t="shared" si="86"/>
        <v>ссылка на книгу</v>
      </c>
      <c r="Y619" s="34" t="str">
        <f t="shared" si="80"/>
        <v/>
      </c>
      <c r="Z619" s="13"/>
      <c r="AT619" s="1">
        <f t="shared" si="81"/>
        <v>0</v>
      </c>
      <c r="AU619" s="1">
        <f t="shared" si="82"/>
        <v>0</v>
      </c>
      <c r="AV619" s="1">
        <f t="shared" si="83"/>
        <v>0</v>
      </c>
      <c r="AW619" s="1">
        <f t="shared" si="84"/>
        <v>0</v>
      </c>
      <c r="AX619" s="1">
        <f t="shared" si="85"/>
        <v>0</v>
      </c>
    </row>
    <row r="620" spans="1:50" s="1" customFormat="1" ht="21.95" customHeight="1" outlineLevel="3" x14ac:dyDescent="0.2">
      <c r="A620" s="11"/>
      <c r="B620" s="12">
        <v>640</v>
      </c>
      <c r="C620" s="12">
        <v>940</v>
      </c>
      <c r="D620" s="12">
        <v>25500</v>
      </c>
      <c r="E620" s="13" t="s">
        <v>263</v>
      </c>
      <c r="F620" s="13" t="s">
        <v>2008</v>
      </c>
      <c r="G620" s="13" t="s">
        <v>56</v>
      </c>
      <c r="H620" s="13" t="s">
        <v>164</v>
      </c>
      <c r="I620" s="12">
        <v>2025</v>
      </c>
      <c r="J620" s="13" t="s">
        <v>2009</v>
      </c>
      <c r="K620" s="12">
        <v>9785961483819</v>
      </c>
      <c r="L620" s="13" t="s">
        <v>2010</v>
      </c>
      <c r="M620" s="12">
        <v>286</v>
      </c>
      <c r="N620" s="14">
        <v>0.46</v>
      </c>
      <c r="O620" s="12">
        <v>150</v>
      </c>
      <c r="P620" s="12">
        <v>220</v>
      </c>
      <c r="Q620" s="12">
        <v>6</v>
      </c>
      <c r="R620" s="13" t="s">
        <v>43</v>
      </c>
      <c r="S620" s="13" t="s">
        <v>267</v>
      </c>
      <c r="T620" s="15">
        <v>5000</v>
      </c>
      <c r="U620" s="13" t="s">
        <v>268</v>
      </c>
      <c r="V620" s="13" t="s">
        <v>269</v>
      </c>
      <c r="W620" s="12">
        <v>20</v>
      </c>
      <c r="X620" s="33" t="str">
        <f>HYPERLINK("https://www.alpinabook.ru/catalog/book-6-minut-inspired-by-gunta","ссылка на книгу")</f>
        <v>ссылка на книгу</v>
      </c>
      <c r="Y620" s="34" t="str">
        <f t="shared" si="80"/>
        <v/>
      </c>
      <c r="Z620" s="13"/>
      <c r="AT620" s="1">
        <f t="shared" si="81"/>
        <v>0</v>
      </c>
      <c r="AU620" s="1">
        <f t="shared" si="82"/>
        <v>0</v>
      </c>
      <c r="AV620" s="1">
        <f t="shared" si="83"/>
        <v>0</v>
      </c>
      <c r="AW620" s="1">
        <f t="shared" si="84"/>
        <v>0</v>
      </c>
      <c r="AX620" s="1">
        <f t="shared" si="85"/>
        <v>0</v>
      </c>
    </row>
    <row r="621" spans="1:50" s="1" customFormat="1" ht="21.95" customHeight="1" outlineLevel="3" x14ac:dyDescent="0.2">
      <c r="A621" s="11"/>
      <c r="B621" s="12">
        <v>740</v>
      </c>
      <c r="C621" s="12">
        <v>940</v>
      </c>
      <c r="D621" s="12">
        <v>25501</v>
      </c>
      <c r="E621" s="13" t="s">
        <v>263</v>
      </c>
      <c r="F621" s="13" t="s">
        <v>2011</v>
      </c>
      <c r="G621" s="13" t="s">
        <v>56</v>
      </c>
      <c r="H621" s="13" t="s">
        <v>164</v>
      </c>
      <c r="I621" s="12">
        <v>2025</v>
      </c>
      <c r="J621" s="13" t="s">
        <v>2012</v>
      </c>
      <c r="K621" s="12">
        <v>9785961483826</v>
      </c>
      <c r="L621" s="13" t="s">
        <v>2013</v>
      </c>
      <c r="M621" s="12">
        <v>286</v>
      </c>
      <c r="N621" s="14">
        <v>0.46</v>
      </c>
      <c r="O621" s="12">
        <v>150</v>
      </c>
      <c r="P621" s="12">
        <v>220</v>
      </c>
      <c r="Q621" s="12">
        <v>6</v>
      </c>
      <c r="R621" s="13" t="s">
        <v>43</v>
      </c>
      <c r="S621" s="13" t="s">
        <v>267</v>
      </c>
      <c r="T621" s="15">
        <v>4000</v>
      </c>
      <c r="U621" s="13" t="s">
        <v>268</v>
      </c>
      <c r="V621" s="13" t="s">
        <v>269</v>
      </c>
      <c r="W621" s="12">
        <v>20</v>
      </c>
      <c r="X621" s="33" t="str">
        <f>HYPERLINK("https://www.alpinabook.ru/catalog/book-6-minut-inspired-by-gunta","ссылка на книгу")</f>
        <v>ссылка на книгу</v>
      </c>
      <c r="Y621" s="34" t="str">
        <f t="shared" si="80"/>
        <v/>
      </c>
      <c r="Z621" s="13" t="s">
        <v>118</v>
      </c>
      <c r="AT621" s="1">
        <f t="shared" si="81"/>
        <v>0</v>
      </c>
      <c r="AU621" s="1">
        <f t="shared" si="82"/>
        <v>0</v>
      </c>
      <c r="AV621" s="1">
        <f t="shared" si="83"/>
        <v>0</v>
      </c>
      <c r="AW621" s="1">
        <f t="shared" si="84"/>
        <v>0</v>
      </c>
      <c r="AX621" s="1">
        <f t="shared" si="85"/>
        <v>0</v>
      </c>
    </row>
    <row r="622" spans="1:50" s="1" customFormat="1" ht="21.95" customHeight="1" outlineLevel="3" x14ac:dyDescent="0.2">
      <c r="A622" s="11"/>
      <c r="B622" s="12">
        <v>640</v>
      </c>
      <c r="C622" s="12">
        <v>940</v>
      </c>
      <c r="D622" s="12">
        <v>25502</v>
      </c>
      <c r="E622" s="13" t="s">
        <v>263</v>
      </c>
      <c r="F622" s="13" t="s">
        <v>2014</v>
      </c>
      <c r="G622" s="13" t="s">
        <v>56</v>
      </c>
      <c r="H622" s="13" t="s">
        <v>164</v>
      </c>
      <c r="I622" s="12">
        <v>2025</v>
      </c>
      <c r="J622" s="13" t="s">
        <v>2015</v>
      </c>
      <c r="K622" s="12">
        <v>9785961483833</v>
      </c>
      <c r="L622" s="13" t="s">
        <v>2016</v>
      </c>
      <c r="M622" s="12">
        <v>286</v>
      </c>
      <c r="N622" s="14">
        <v>0.46</v>
      </c>
      <c r="O622" s="12">
        <v>150</v>
      </c>
      <c r="P622" s="12">
        <v>220</v>
      </c>
      <c r="Q622" s="12">
        <v>6</v>
      </c>
      <c r="R622" s="13" t="s">
        <v>43</v>
      </c>
      <c r="S622" s="13" t="s">
        <v>267</v>
      </c>
      <c r="T622" s="15">
        <v>4000</v>
      </c>
      <c r="U622" s="13" t="s">
        <v>268</v>
      </c>
      <c r="V622" s="13" t="s">
        <v>269</v>
      </c>
      <c r="W622" s="12">
        <v>20</v>
      </c>
      <c r="X622" s="33" t="str">
        <f>HYPERLINK("https://www.alpinabook.ru/catalog/book-6-minut-inspired-by-gunta","ссылка на книгу")</f>
        <v>ссылка на книгу</v>
      </c>
      <c r="Y622" s="34" t="str">
        <f t="shared" si="80"/>
        <v/>
      </c>
      <c r="Z622" s="13" t="s">
        <v>118</v>
      </c>
      <c r="AT622" s="1">
        <f t="shared" si="81"/>
        <v>0</v>
      </c>
      <c r="AU622" s="1">
        <f t="shared" si="82"/>
        <v>0</v>
      </c>
      <c r="AV622" s="1">
        <f t="shared" si="83"/>
        <v>0</v>
      </c>
      <c r="AW622" s="1">
        <f t="shared" si="84"/>
        <v>0</v>
      </c>
      <c r="AX622" s="1">
        <f t="shared" si="85"/>
        <v>0</v>
      </c>
    </row>
    <row r="623" spans="1:50" s="1" customFormat="1" ht="21.95" customHeight="1" outlineLevel="3" x14ac:dyDescent="0.2">
      <c r="A623" s="11"/>
      <c r="B623" s="12">
        <v>540</v>
      </c>
      <c r="C623" s="12">
        <v>790</v>
      </c>
      <c r="D623" s="12">
        <v>25528</v>
      </c>
      <c r="E623" s="13" t="s">
        <v>283</v>
      </c>
      <c r="F623" s="13" t="s">
        <v>2017</v>
      </c>
      <c r="G623" s="13" t="s">
        <v>56</v>
      </c>
      <c r="H623" s="13" t="s">
        <v>40</v>
      </c>
      <c r="I623" s="12">
        <v>2025</v>
      </c>
      <c r="J623" s="13" t="s">
        <v>2018</v>
      </c>
      <c r="K623" s="12">
        <v>9785961479232</v>
      </c>
      <c r="L623" s="13" t="s">
        <v>2019</v>
      </c>
      <c r="M623" s="12">
        <v>384</v>
      </c>
      <c r="N623" s="14">
        <v>0.5</v>
      </c>
      <c r="O623" s="12">
        <v>150</v>
      </c>
      <c r="P623" s="12">
        <v>210</v>
      </c>
      <c r="Q623" s="12">
        <v>10</v>
      </c>
      <c r="R623" s="13" t="s">
        <v>43</v>
      </c>
      <c r="S623" s="13"/>
      <c r="T623" s="15">
        <v>1500</v>
      </c>
      <c r="U623" s="13" t="s">
        <v>52</v>
      </c>
      <c r="V623" s="13" t="s">
        <v>64</v>
      </c>
      <c r="W623" s="12">
        <v>20</v>
      </c>
      <c r="X623" s="33" t="str">
        <f>HYPERLINK("https://www.alpinabook.ru/catalog/book-dnevnik-vpechatleniy-na-5-let-maksi","ссылка на книгу")</f>
        <v>ссылка на книгу</v>
      </c>
      <c r="Y623" s="34" t="str">
        <f t="shared" si="80"/>
        <v/>
      </c>
      <c r="Z623" s="13" t="s">
        <v>374</v>
      </c>
      <c r="AT623" s="1">
        <f t="shared" si="81"/>
        <v>0</v>
      </c>
      <c r="AU623" s="1">
        <f t="shared" si="82"/>
        <v>0</v>
      </c>
      <c r="AV623" s="1">
        <f t="shared" si="83"/>
        <v>0</v>
      </c>
      <c r="AW623" s="1">
        <f t="shared" si="84"/>
        <v>0</v>
      </c>
      <c r="AX623" s="1">
        <f t="shared" si="85"/>
        <v>0</v>
      </c>
    </row>
    <row r="624" spans="1:50" s="1" customFormat="1" ht="21.95" customHeight="1" outlineLevel="3" x14ac:dyDescent="0.2">
      <c r="A624" s="11"/>
      <c r="B624" s="12">
        <v>690</v>
      </c>
      <c r="C624" s="12">
        <v>990</v>
      </c>
      <c r="D624" s="12">
        <v>30806</v>
      </c>
      <c r="E624" s="13" t="s">
        <v>283</v>
      </c>
      <c r="F624" s="13" t="s">
        <v>2020</v>
      </c>
      <c r="G624" s="13" t="s">
        <v>56</v>
      </c>
      <c r="H624" s="13"/>
      <c r="I624" s="12">
        <v>2024</v>
      </c>
      <c r="J624" s="13" t="s">
        <v>2021</v>
      </c>
      <c r="K624" s="12">
        <v>9785961496604</v>
      </c>
      <c r="L624" s="13" t="s">
        <v>2022</v>
      </c>
      <c r="M624" s="12">
        <v>227</v>
      </c>
      <c r="N624" s="14">
        <v>0.6</v>
      </c>
      <c r="O624" s="12">
        <v>170</v>
      </c>
      <c r="P624" s="12">
        <v>240</v>
      </c>
      <c r="Q624" s="12">
        <v>8</v>
      </c>
      <c r="R624" s="13" t="s">
        <v>94</v>
      </c>
      <c r="S624" s="13"/>
      <c r="T624" s="15">
        <v>3000</v>
      </c>
      <c r="U624" s="13" t="s">
        <v>268</v>
      </c>
      <c r="V624" s="13" t="s">
        <v>45</v>
      </c>
      <c r="W624" s="12">
        <v>20</v>
      </c>
      <c r="X624" s="33" t="str">
        <f>HYPERLINK("https://www.alpinabook.ru/catalog/book-dnevnik-zaboty-o-sebe","ссылка на книгу")</f>
        <v>ссылка на книгу</v>
      </c>
      <c r="Y624" s="34" t="str">
        <f t="shared" si="80"/>
        <v/>
      </c>
      <c r="Z624" s="13"/>
      <c r="AT624" s="1">
        <f t="shared" si="81"/>
        <v>0</v>
      </c>
      <c r="AU624" s="1">
        <f t="shared" si="82"/>
        <v>0</v>
      </c>
      <c r="AV624" s="1">
        <f t="shared" si="83"/>
        <v>0</v>
      </c>
      <c r="AW624" s="1">
        <f t="shared" si="84"/>
        <v>0</v>
      </c>
      <c r="AX624" s="1">
        <f t="shared" si="85"/>
        <v>0</v>
      </c>
    </row>
    <row r="625" spans="1:50" s="1" customFormat="1" ht="24.95" customHeight="1" outlineLevel="3" x14ac:dyDescent="0.2">
      <c r="A625" s="11"/>
      <c r="B625" s="12">
        <v>530</v>
      </c>
      <c r="C625" s="12">
        <v>790</v>
      </c>
      <c r="D625" s="12">
        <v>24833</v>
      </c>
      <c r="E625" s="13" t="s">
        <v>576</v>
      </c>
      <c r="F625" s="13" t="s">
        <v>2023</v>
      </c>
      <c r="G625" s="13" t="s">
        <v>56</v>
      </c>
      <c r="H625" s="13" t="s">
        <v>40</v>
      </c>
      <c r="I625" s="12">
        <v>2024</v>
      </c>
      <c r="J625" s="13" t="s">
        <v>2024</v>
      </c>
      <c r="K625" s="12">
        <v>9785961479195</v>
      </c>
      <c r="L625" s="13" t="s">
        <v>2025</v>
      </c>
      <c r="M625" s="12">
        <v>192</v>
      </c>
      <c r="N625" s="14">
        <v>0.3</v>
      </c>
      <c r="O625" s="12">
        <v>140</v>
      </c>
      <c r="P625" s="12">
        <v>200</v>
      </c>
      <c r="Q625" s="12">
        <v>16</v>
      </c>
      <c r="R625" s="13" t="s">
        <v>43</v>
      </c>
      <c r="S625" s="13"/>
      <c r="T625" s="15">
        <v>1500</v>
      </c>
      <c r="U625" s="13" t="s">
        <v>44</v>
      </c>
      <c r="V625" s="13" t="s">
        <v>45</v>
      </c>
      <c r="W625" s="12">
        <v>10</v>
      </c>
      <c r="X625" s="33" t="str">
        <f>HYPERLINK("https://www.alpinabook.ru/catalog/book-dnevnik-pofigista","ссылка на книгу")</f>
        <v>ссылка на книгу</v>
      </c>
      <c r="Y625" s="34" t="str">
        <f>HYPERLINK("https://api-enni.alpina.ru/FilePrivilegesApproval/156","https://api-enni.alpina.ru/FilePrivilegesApproval/156")</f>
        <v>https://api-enni.alpina.ru/FilePrivilegesApproval/156</v>
      </c>
      <c r="Z625" s="13"/>
      <c r="AT625" s="1">
        <f t="shared" si="81"/>
        <v>0</v>
      </c>
      <c r="AU625" s="1">
        <f t="shared" si="82"/>
        <v>0</v>
      </c>
      <c r="AV625" s="1">
        <f t="shared" si="83"/>
        <v>0</v>
      </c>
      <c r="AW625" s="1">
        <f t="shared" si="84"/>
        <v>0</v>
      </c>
      <c r="AX625" s="1">
        <f t="shared" si="85"/>
        <v>0</v>
      </c>
    </row>
    <row r="626" spans="1:50" s="1" customFormat="1" ht="24.95" customHeight="1" outlineLevel="3" x14ac:dyDescent="0.2">
      <c r="A626" s="11"/>
      <c r="B626" s="12">
        <v>690</v>
      </c>
      <c r="C626" s="12">
        <v>990</v>
      </c>
      <c r="D626" s="12">
        <v>31726</v>
      </c>
      <c r="E626" s="13" t="s">
        <v>2026</v>
      </c>
      <c r="F626" s="13" t="s">
        <v>2027</v>
      </c>
      <c r="G626" s="13" t="s">
        <v>56</v>
      </c>
      <c r="H626" s="13" t="s">
        <v>40</v>
      </c>
      <c r="I626" s="12">
        <v>2025</v>
      </c>
      <c r="J626" s="13" t="s">
        <v>2028</v>
      </c>
      <c r="K626" s="12">
        <v>9785006300019</v>
      </c>
      <c r="L626" s="13" t="s">
        <v>2029</v>
      </c>
      <c r="M626" s="12">
        <v>176</v>
      </c>
      <c r="N626" s="14">
        <v>0.48</v>
      </c>
      <c r="O626" s="12">
        <v>170</v>
      </c>
      <c r="P626" s="12">
        <v>240</v>
      </c>
      <c r="Q626" s="12">
        <v>10</v>
      </c>
      <c r="R626" s="13" t="s">
        <v>94</v>
      </c>
      <c r="S626" s="13"/>
      <c r="T626" s="15">
        <v>3000</v>
      </c>
      <c r="U626" s="13" t="s">
        <v>52</v>
      </c>
      <c r="V626" s="13" t="s">
        <v>269</v>
      </c>
      <c r="W626" s="12">
        <v>10</v>
      </c>
      <c r="X626" s="33" t="str">
        <f>HYPERLINK("https://www.alpinabook.ru/catalog/book-dnevnik-tvoey-energii","ссылка на книгу")</f>
        <v>ссылка на книгу</v>
      </c>
      <c r="Y626" s="34" t="str">
        <f>HYPERLINK("https://api-enni.alpina.ru/FilePrivilegesApproval/713","https://api-enni.alpina.ru/FilePrivilegesApproval/713")</f>
        <v>https://api-enni.alpina.ru/FilePrivilegesApproval/713</v>
      </c>
      <c r="Z626" s="13"/>
      <c r="AT626" s="1">
        <f t="shared" si="81"/>
        <v>0</v>
      </c>
      <c r="AU626" s="1">
        <f t="shared" si="82"/>
        <v>0</v>
      </c>
      <c r="AV626" s="1">
        <f t="shared" si="83"/>
        <v>0</v>
      </c>
      <c r="AW626" s="1">
        <f t="shared" si="84"/>
        <v>0</v>
      </c>
      <c r="AX626" s="1">
        <f t="shared" si="85"/>
        <v>0</v>
      </c>
    </row>
    <row r="627" spans="1:50" s="1" customFormat="1" ht="21.95" customHeight="1" outlineLevel="3" x14ac:dyDescent="0.2">
      <c r="A627" s="11"/>
      <c r="B627" s="12">
        <v>590</v>
      </c>
      <c r="C627" s="12">
        <v>840</v>
      </c>
      <c r="D627" s="12">
        <v>23262</v>
      </c>
      <c r="E627" s="13" t="s">
        <v>1517</v>
      </c>
      <c r="F627" s="13" t="s">
        <v>2030</v>
      </c>
      <c r="G627" s="13" t="s">
        <v>56</v>
      </c>
      <c r="H627" s="13"/>
      <c r="I627" s="12">
        <v>2025</v>
      </c>
      <c r="J627" s="13" t="s">
        <v>2031</v>
      </c>
      <c r="K627" s="12">
        <v>9785961480108</v>
      </c>
      <c r="L627" s="13" t="s">
        <v>2032</v>
      </c>
      <c r="M627" s="12">
        <v>304</v>
      </c>
      <c r="N627" s="14">
        <v>0.43</v>
      </c>
      <c r="O627" s="12">
        <v>140</v>
      </c>
      <c r="P627" s="12">
        <v>210</v>
      </c>
      <c r="Q627" s="12">
        <v>14</v>
      </c>
      <c r="R627" s="13" t="s">
        <v>82</v>
      </c>
      <c r="S627" s="13"/>
      <c r="T627" s="15">
        <v>4000</v>
      </c>
      <c r="U627" s="13" t="s">
        <v>268</v>
      </c>
      <c r="V627" s="13" t="s">
        <v>59</v>
      </c>
      <c r="W627" s="12">
        <v>20</v>
      </c>
      <c r="X627" s="33" t="str">
        <f>HYPERLINK("https://www.alpinabook.ru/catalog/book-dnevnik-effektivnosti","ссылка на книгу")</f>
        <v>ссылка на книгу</v>
      </c>
      <c r="Y627" s="34" t="str">
        <f>HYPERLINK("","")</f>
        <v/>
      </c>
      <c r="Z627" s="13" t="s">
        <v>308</v>
      </c>
      <c r="AT627" s="1">
        <f t="shared" si="81"/>
        <v>0</v>
      </c>
      <c r="AU627" s="1">
        <f t="shared" si="82"/>
        <v>0</v>
      </c>
      <c r="AV627" s="1">
        <f t="shared" si="83"/>
        <v>0</v>
      </c>
      <c r="AW627" s="1">
        <f t="shared" si="84"/>
        <v>0</v>
      </c>
      <c r="AX627" s="1">
        <f t="shared" si="85"/>
        <v>0</v>
      </c>
    </row>
    <row r="628" spans="1:50" s="1" customFormat="1" ht="21.95" customHeight="1" outlineLevel="3" x14ac:dyDescent="0.2">
      <c r="A628" s="26"/>
      <c r="B628" s="27">
        <v>750</v>
      </c>
      <c r="C628" s="27">
        <v>890</v>
      </c>
      <c r="D628" s="27">
        <v>19254</v>
      </c>
      <c r="E628" s="29" t="s">
        <v>2033</v>
      </c>
      <c r="F628" s="29" t="s">
        <v>2034</v>
      </c>
      <c r="G628" s="29" t="s">
        <v>56</v>
      </c>
      <c r="H628" s="29"/>
      <c r="I628" s="27">
        <v>2021</v>
      </c>
      <c r="J628" s="29" t="s">
        <v>2035</v>
      </c>
      <c r="K628" s="27">
        <v>9785961440096</v>
      </c>
      <c r="L628" s="29" t="s">
        <v>2036</v>
      </c>
      <c r="M628" s="27">
        <v>256</v>
      </c>
      <c r="N628" s="30">
        <v>0.43</v>
      </c>
      <c r="O628" s="27">
        <v>146</v>
      </c>
      <c r="P628" s="27">
        <v>216</v>
      </c>
      <c r="Q628" s="27">
        <v>8</v>
      </c>
      <c r="R628" s="29" t="s">
        <v>43</v>
      </c>
      <c r="S628" s="29" t="s">
        <v>2037</v>
      </c>
      <c r="T628" s="28">
        <v>1500</v>
      </c>
      <c r="U628" s="29" t="s">
        <v>268</v>
      </c>
      <c r="V628" s="29" t="s">
        <v>64</v>
      </c>
      <c r="W628" s="27">
        <v>20</v>
      </c>
      <c r="X628" s="37" t="str">
        <f>HYPERLINK("https://www.alpinabook.ru/catalog/book-664791","ссылка на книгу")</f>
        <v>ссылка на книгу</v>
      </c>
      <c r="Y628" s="38" t="str">
        <f>HYPERLINK("","")</f>
        <v/>
      </c>
      <c r="Z628" s="29"/>
      <c r="AT628" s="1">
        <f t="shared" si="81"/>
        <v>0</v>
      </c>
      <c r="AU628" s="1">
        <f t="shared" si="82"/>
        <v>0</v>
      </c>
      <c r="AV628" s="1">
        <f t="shared" si="83"/>
        <v>0</v>
      </c>
      <c r="AW628" s="1">
        <f t="shared" si="84"/>
        <v>0</v>
      </c>
      <c r="AX628" s="1">
        <f t="shared" si="85"/>
        <v>0</v>
      </c>
    </row>
    <row r="629" spans="1:50" s="1" customFormat="1" ht="24.95" customHeight="1" outlineLevel="3" x14ac:dyDescent="0.2">
      <c r="A629" s="26"/>
      <c r="B629" s="27">
        <v>750</v>
      </c>
      <c r="C629" s="27">
        <v>750</v>
      </c>
      <c r="D629" s="27">
        <v>5755</v>
      </c>
      <c r="E629" s="29" t="s">
        <v>2033</v>
      </c>
      <c r="F629" s="29" t="s">
        <v>2038</v>
      </c>
      <c r="G629" s="29" t="s">
        <v>56</v>
      </c>
      <c r="H629" s="29"/>
      <c r="I629" s="26"/>
      <c r="J629" s="29" t="s">
        <v>2039</v>
      </c>
      <c r="K629" s="27">
        <v>9785961466539</v>
      </c>
      <c r="L629" s="29" t="s">
        <v>2040</v>
      </c>
      <c r="M629" s="27">
        <v>256</v>
      </c>
      <c r="N629" s="30">
        <v>0.45</v>
      </c>
      <c r="O629" s="27">
        <v>146</v>
      </c>
      <c r="P629" s="27">
        <v>216</v>
      </c>
      <c r="Q629" s="27">
        <v>7</v>
      </c>
      <c r="R629" s="29" t="s">
        <v>43</v>
      </c>
      <c r="S629" s="29"/>
      <c r="T629" s="28">
        <v>2000</v>
      </c>
      <c r="U629" s="29" t="s">
        <v>52</v>
      </c>
      <c r="V629" s="29" t="s">
        <v>64</v>
      </c>
      <c r="W629" s="27">
        <v>20</v>
      </c>
      <c r="X629" s="37" t="str">
        <f>HYPERLINK("https://www.alpinabook.ru/catalog/book-7936","ссылка на книгу")</f>
        <v>ссылка на книгу</v>
      </c>
      <c r="Y629" s="38" t="str">
        <f>HYPERLINK("https://api-enni.alpina.ru/FilePrivilegesApproval/2","https://api-enni.alpina.ru/FilePrivilegesApproval/2")</f>
        <v>https://api-enni.alpina.ru/FilePrivilegesApproval/2</v>
      </c>
      <c r="Z629" s="29"/>
      <c r="AT629" s="1">
        <f t="shared" si="81"/>
        <v>0</v>
      </c>
      <c r="AU629" s="1">
        <f t="shared" si="82"/>
        <v>0</v>
      </c>
      <c r="AV629" s="1">
        <f t="shared" si="83"/>
        <v>0</v>
      </c>
      <c r="AW629" s="1">
        <f t="shared" si="84"/>
        <v>0</v>
      </c>
      <c r="AX629" s="1">
        <f t="shared" si="85"/>
        <v>0</v>
      </c>
    </row>
    <row r="630" spans="1:50" s="1" customFormat="1" ht="21.95" customHeight="1" outlineLevel="3" x14ac:dyDescent="0.2">
      <c r="A630" s="11"/>
      <c r="B630" s="12">
        <v>890</v>
      </c>
      <c r="C630" s="15">
        <v>1090</v>
      </c>
      <c r="D630" s="12">
        <v>28008</v>
      </c>
      <c r="E630" s="13" t="s">
        <v>1073</v>
      </c>
      <c r="F630" s="13" t="s">
        <v>2041</v>
      </c>
      <c r="G630" s="13" t="s">
        <v>56</v>
      </c>
      <c r="H630" s="13" t="s">
        <v>40</v>
      </c>
      <c r="I630" s="12">
        <v>2024</v>
      </c>
      <c r="J630" s="13" t="s">
        <v>2042</v>
      </c>
      <c r="K630" s="12">
        <v>9785961487374</v>
      </c>
      <c r="L630" s="13" t="s">
        <v>2043</v>
      </c>
      <c r="M630" s="12">
        <v>432</v>
      </c>
      <c r="N630" s="14">
        <v>0.64</v>
      </c>
      <c r="O630" s="12">
        <v>150</v>
      </c>
      <c r="P630" s="12">
        <v>220</v>
      </c>
      <c r="Q630" s="12">
        <v>5</v>
      </c>
      <c r="R630" s="13" t="s">
        <v>43</v>
      </c>
      <c r="S630" s="13"/>
      <c r="T630" s="15">
        <v>3000</v>
      </c>
      <c r="U630" s="13" t="s">
        <v>268</v>
      </c>
      <c r="V630" s="13" t="s">
        <v>64</v>
      </c>
      <c r="W630" s="12">
        <v>20</v>
      </c>
      <c r="X630" s="33" t="str">
        <f>HYPERLINK("https://www.alpinabook.ru/catalog/book-ezhednevnik-kovi-nedat","ссылка на книгу")</f>
        <v>ссылка на книгу</v>
      </c>
      <c r="Y630" s="34" t="str">
        <f t="shared" ref="Y630:Y645" si="87">HYPERLINK("","")</f>
        <v/>
      </c>
      <c r="Z630" s="13"/>
      <c r="AT630" s="1">
        <f t="shared" si="81"/>
        <v>0</v>
      </c>
      <c r="AU630" s="1">
        <f t="shared" si="82"/>
        <v>0</v>
      </c>
      <c r="AV630" s="1">
        <f t="shared" si="83"/>
        <v>0</v>
      </c>
      <c r="AW630" s="1">
        <f t="shared" si="84"/>
        <v>0</v>
      </c>
      <c r="AX630" s="1">
        <f t="shared" si="85"/>
        <v>0</v>
      </c>
    </row>
    <row r="631" spans="1:50" s="1" customFormat="1" ht="21.95" customHeight="1" outlineLevel="3" x14ac:dyDescent="0.2">
      <c r="A631" s="11"/>
      <c r="B631" s="12">
        <v>890</v>
      </c>
      <c r="C631" s="15">
        <v>1090</v>
      </c>
      <c r="D631" s="12">
        <v>28009</v>
      </c>
      <c r="E631" s="13" t="s">
        <v>1073</v>
      </c>
      <c r="F631" s="13" t="s">
        <v>2044</v>
      </c>
      <c r="G631" s="13" t="s">
        <v>56</v>
      </c>
      <c r="H631" s="13" t="s">
        <v>40</v>
      </c>
      <c r="I631" s="12">
        <v>2024</v>
      </c>
      <c r="J631" s="13" t="s">
        <v>2045</v>
      </c>
      <c r="K631" s="12">
        <v>9785961487398</v>
      </c>
      <c r="L631" s="13" t="s">
        <v>2046</v>
      </c>
      <c r="M631" s="12">
        <v>432</v>
      </c>
      <c r="N631" s="14">
        <v>0.64</v>
      </c>
      <c r="O631" s="12">
        <v>150</v>
      </c>
      <c r="P631" s="12">
        <v>220</v>
      </c>
      <c r="Q631" s="12">
        <v>5</v>
      </c>
      <c r="R631" s="13" t="s">
        <v>43</v>
      </c>
      <c r="S631" s="13"/>
      <c r="T631" s="15">
        <v>3000</v>
      </c>
      <c r="U631" s="13" t="s">
        <v>268</v>
      </c>
      <c r="V631" s="13" t="s">
        <v>64</v>
      </c>
      <c r="W631" s="12">
        <v>20</v>
      </c>
      <c r="X631" s="33" t="str">
        <f>HYPERLINK("https://www.alpinabook.ru/catalog/book-ezhednevnik-kovi-nedat","ссылка на книгу")</f>
        <v>ссылка на книгу</v>
      </c>
      <c r="Y631" s="34" t="str">
        <f t="shared" si="87"/>
        <v/>
      </c>
      <c r="Z631" s="13"/>
      <c r="AT631" s="1">
        <f t="shared" si="81"/>
        <v>0</v>
      </c>
      <c r="AU631" s="1">
        <f t="shared" si="82"/>
        <v>0</v>
      </c>
      <c r="AV631" s="1">
        <f t="shared" si="83"/>
        <v>0</v>
      </c>
      <c r="AW631" s="1">
        <f t="shared" si="84"/>
        <v>0</v>
      </c>
      <c r="AX631" s="1">
        <f t="shared" si="85"/>
        <v>0</v>
      </c>
    </row>
    <row r="632" spans="1:50" s="1" customFormat="1" ht="21.95" customHeight="1" outlineLevel="3" x14ac:dyDescent="0.2">
      <c r="A632" s="11"/>
      <c r="B632" s="12">
        <v>590</v>
      </c>
      <c r="C632" s="12">
        <v>840</v>
      </c>
      <c r="D632" s="12">
        <v>25110</v>
      </c>
      <c r="E632" s="13" t="s">
        <v>422</v>
      </c>
      <c r="F632" s="13" t="s">
        <v>2047</v>
      </c>
      <c r="G632" s="13" t="s">
        <v>56</v>
      </c>
      <c r="H632" s="13"/>
      <c r="I632" s="12">
        <v>2024</v>
      </c>
      <c r="J632" s="13" t="s">
        <v>2048</v>
      </c>
      <c r="K632" s="12">
        <v>9785961486506</v>
      </c>
      <c r="L632" s="13" t="s">
        <v>2049</v>
      </c>
      <c r="M632" s="12">
        <v>160</v>
      </c>
      <c r="N632" s="14">
        <v>0.45</v>
      </c>
      <c r="O632" s="12">
        <v>170</v>
      </c>
      <c r="P632" s="12">
        <v>240</v>
      </c>
      <c r="Q632" s="12">
        <v>10</v>
      </c>
      <c r="R632" s="13" t="s">
        <v>94</v>
      </c>
      <c r="S632" s="13" t="s">
        <v>426</v>
      </c>
      <c r="T632" s="15">
        <v>2000</v>
      </c>
      <c r="U632" s="13" t="s">
        <v>268</v>
      </c>
      <c r="V632" s="13" t="s">
        <v>64</v>
      </c>
      <c r="W632" s="12">
        <v>20</v>
      </c>
      <c r="X632" s="33" t="str">
        <f>HYPERLINK("https://www.alpinabook.ru/catalog/book-52-weeks","ссылка на книгу")</f>
        <v>ссылка на книгу</v>
      </c>
      <c r="Y632" s="34" t="str">
        <f t="shared" si="87"/>
        <v/>
      </c>
      <c r="Z632" s="13"/>
      <c r="AT632" s="1">
        <f t="shared" si="81"/>
        <v>0</v>
      </c>
      <c r="AU632" s="1">
        <f t="shared" si="82"/>
        <v>0</v>
      </c>
      <c r="AV632" s="1">
        <f t="shared" si="83"/>
        <v>0</v>
      </c>
      <c r="AW632" s="1">
        <f t="shared" si="84"/>
        <v>0</v>
      </c>
      <c r="AX632" s="1">
        <f t="shared" si="85"/>
        <v>0</v>
      </c>
    </row>
    <row r="633" spans="1:50" s="1" customFormat="1" ht="21.95" customHeight="1" outlineLevel="3" x14ac:dyDescent="0.2">
      <c r="A633" s="11"/>
      <c r="B633" s="12">
        <v>590</v>
      </c>
      <c r="C633" s="12">
        <v>840</v>
      </c>
      <c r="D633" s="12">
        <v>25328</v>
      </c>
      <c r="E633" s="13" t="s">
        <v>422</v>
      </c>
      <c r="F633" s="13" t="s">
        <v>423</v>
      </c>
      <c r="G633" s="13" t="s">
        <v>56</v>
      </c>
      <c r="H633" s="13"/>
      <c r="I633" s="12">
        <v>2025</v>
      </c>
      <c r="J633" s="13" t="s">
        <v>424</v>
      </c>
      <c r="K633" s="12">
        <v>9785961486513</v>
      </c>
      <c r="L633" s="13" t="s">
        <v>425</v>
      </c>
      <c r="M633" s="12">
        <v>160</v>
      </c>
      <c r="N633" s="14">
        <v>0.46</v>
      </c>
      <c r="O633" s="12">
        <v>170</v>
      </c>
      <c r="P633" s="12">
        <v>240</v>
      </c>
      <c r="Q633" s="12">
        <v>10</v>
      </c>
      <c r="R633" s="13" t="s">
        <v>94</v>
      </c>
      <c r="S633" s="13" t="s">
        <v>426</v>
      </c>
      <c r="T633" s="15">
        <v>2000</v>
      </c>
      <c r="U633" s="13" t="s">
        <v>268</v>
      </c>
      <c r="V633" s="13" t="s">
        <v>64</v>
      </c>
      <c r="W633" s="12">
        <v>20</v>
      </c>
      <c r="X633" s="33" t="str">
        <f>HYPERLINK("https://www.alpinabook.ru/catalog/book-365-facts-about-me","ссылка на книгу")</f>
        <v>ссылка на книгу</v>
      </c>
      <c r="Y633" s="34" t="str">
        <f t="shared" si="87"/>
        <v/>
      </c>
      <c r="Z633" s="13" t="s">
        <v>83</v>
      </c>
      <c r="AT633" s="1">
        <f t="shared" si="81"/>
        <v>0</v>
      </c>
      <c r="AU633" s="1">
        <f t="shared" si="82"/>
        <v>0</v>
      </c>
      <c r="AV633" s="1">
        <f t="shared" si="83"/>
        <v>0</v>
      </c>
      <c r="AW633" s="1">
        <f t="shared" si="84"/>
        <v>0</v>
      </c>
      <c r="AX633" s="1">
        <f t="shared" si="85"/>
        <v>0</v>
      </c>
    </row>
    <row r="634" spans="1:50" s="1" customFormat="1" ht="21.95" customHeight="1" outlineLevel="3" x14ac:dyDescent="0.2">
      <c r="A634" s="11"/>
      <c r="B634" s="12">
        <v>590</v>
      </c>
      <c r="C634" s="12">
        <v>840</v>
      </c>
      <c r="D634" s="12">
        <v>27592</v>
      </c>
      <c r="E634" s="13" t="s">
        <v>422</v>
      </c>
      <c r="F634" s="13" t="s">
        <v>2050</v>
      </c>
      <c r="G634" s="13" t="s">
        <v>56</v>
      </c>
      <c r="H634" s="13"/>
      <c r="I634" s="12">
        <v>2025</v>
      </c>
      <c r="J634" s="13" t="s">
        <v>2051</v>
      </c>
      <c r="K634" s="12">
        <v>9785961486520</v>
      </c>
      <c r="L634" s="13" t="s">
        <v>2052</v>
      </c>
      <c r="M634" s="12">
        <v>160</v>
      </c>
      <c r="N634" s="14">
        <v>0.45</v>
      </c>
      <c r="O634" s="12">
        <v>170</v>
      </c>
      <c r="P634" s="12">
        <v>240</v>
      </c>
      <c r="Q634" s="12">
        <v>10</v>
      </c>
      <c r="R634" s="13" t="s">
        <v>94</v>
      </c>
      <c r="S634" s="13" t="s">
        <v>426</v>
      </c>
      <c r="T634" s="15">
        <v>3000</v>
      </c>
      <c r="U634" s="13" t="s">
        <v>268</v>
      </c>
      <c r="V634" s="13" t="s">
        <v>59</v>
      </c>
      <c r="W634" s="12">
        <v>20</v>
      </c>
      <c r="X634" s="33" t="str">
        <f>HYPERLINK("https://www.alpinabook.ru/catalog/book-75-questions","ссылка на книгу")</f>
        <v>ссылка на книгу</v>
      </c>
      <c r="Y634" s="34" t="str">
        <f t="shared" si="87"/>
        <v/>
      </c>
      <c r="Z634" s="13" t="s">
        <v>1342</v>
      </c>
      <c r="AT634" s="1">
        <f t="shared" si="81"/>
        <v>0</v>
      </c>
      <c r="AU634" s="1">
        <f t="shared" si="82"/>
        <v>0</v>
      </c>
      <c r="AV634" s="1">
        <f t="shared" si="83"/>
        <v>0</v>
      </c>
      <c r="AW634" s="1">
        <f t="shared" si="84"/>
        <v>0</v>
      </c>
      <c r="AX634" s="1">
        <f t="shared" si="85"/>
        <v>0</v>
      </c>
    </row>
    <row r="635" spans="1:50" s="1" customFormat="1" ht="21.95" customHeight="1" outlineLevel="3" x14ac:dyDescent="0.2">
      <c r="A635" s="11"/>
      <c r="B635" s="12">
        <v>590</v>
      </c>
      <c r="C635" s="12">
        <v>840</v>
      </c>
      <c r="D635" s="12">
        <v>28449</v>
      </c>
      <c r="E635" s="13" t="s">
        <v>422</v>
      </c>
      <c r="F635" s="13" t="s">
        <v>2053</v>
      </c>
      <c r="G635" s="13" t="s">
        <v>56</v>
      </c>
      <c r="H635" s="13"/>
      <c r="I635" s="12">
        <v>2025</v>
      </c>
      <c r="J635" s="13" t="s">
        <v>2054</v>
      </c>
      <c r="K635" s="12">
        <v>9785961488982</v>
      </c>
      <c r="L635" s="13" t="s">
        <v>2055</v>
      </c>
      <c r="M635" s="12">
        <v>160</v>
      </c>
      <c r="N635" s="14">
        <v>0.45</v>
      </c>
      <c r="O635" s="12">
        <v>170</v>
      </c>
      <c r="P635" s="12">
        <v>240</v>
      </c>
      <c r="Q635" s="12">
        <v>10</v>
      </c>
      <c r="R635" s="13" t="s">
        <v>94</v>
      </c>
      <c r="S635" s="13" t="s">
        <v>426</v>
      </c>
      <c r="T635" s="15">
        <v>2000</v>
      </c>
      <c r="U635" s="13" t="s">
        <v>268</v>
      </c>
      <c r="V635" s="13" t="s">
        <v>59</v>
      </c>
      <c r="W635" s="12">
        <v>20</v>
      </c>
      <c r="X635" s="33" t="str">
        <f>HYPERLINK("https://www.alpinabook.ru/catalog/book-challenge-book","ссылка на книгу")</f>
        <v>ссылка на книгу</v>
      </c>
      <c r="Y635" s="34" t="str">
        <f t="shared" si="87"/>
        <v/>
      </c>
      <c r="Z635" s="13" t="s">
        <v>1422</v>
      </c>
      <c r="AT635" s="1">
        <f t="shared" si="81"/>
        <v>0</v>
      </c>
      <c r="AU635" s="1">
        <f t="shared" si="82"/>
        <v>0</v>
      </c>
      <c r="AV635" s="1">
        <f t="shared" si="83"/>
        <v>0</v>
      </c>
      <c r="AW635" s="1">
        <f t="shared" si="84"/>
        <v>0</v>
      </c>
      <c r="AX635" s="1">
        <f t="shared" si="85"/>
        <v>0</v>
      </c>
    </row>
    <row r="636" spans="1:50" s="1" customFormat="1" ht="21.95" customHeight="1" outlineLevel="3" x14ac:dyDescent="0.2">
      <c r="A636" s="11"/>
      <c r="B636" s="12">
        <v>590</v>
      </c>
      <c r="C636" s="12">
        <v>840</v>
      </c>
      <c r="D636" s="12">
        <v>28450</v>
      </c>
      <c r="E636" s="13" t="s">
        <v>422</v>
      </c>
      <c r="F636" s="13" t="s">
        <v>2056</v>
      </c>
      <c r="G636" s="13" t="s">
        <v>56</v>
      </c>
      <c r="H636" s="13"/>
      <c r="I636" s="12">
        <v>2025</v>
      </c>
      <c r="J636" s="13" t="s">
        <v>2057</v>
      </c>
      <c r="K636" s="12">
        <v>9785961488999</v>
      </c>
      <c r="L636" s="13" t="s">
        <v>2058</v>
      </c>
      <c r="M636" s="12">
        <v>160</v>
      </c>
      <c r="N636" s="14">
        <v>0.45</v>
      </c>
      <c r="O636" s="12">
        <v>170</v>
      </c>
      <c r="P636" s="12">
        <v>240</v>
      </c>
      <c r="Q636" s="12">
        <v>10</v>
      </c>
      <c r="R636" s="13" t="s">
        <v>94</v>
      </c>
      <c r="S636" s="13" t="s">
        <v>426</v>
      </c>
      <c r="T636" s="15">
        <v>2000</v>
      </c>
      <c r="U636" s="13" t="s">
        <v>268</v>
      </c>
      <c r="V636" s="13" t="s">
        <v>59</v>
      </c>
      <c r="W636" s="12">
        <v>20</v>
      </c>
      <c r="X636" s="33" t="str">
        <f>HYPERLINK("https://www.alpinabook.ru/catalog/book-good-enough","ссылка на книгу")</f>
        <v>ссылка на книгу</v>
      </c>
      <c r="Y636" s="34" t="str">
        <f t="shared" si="87"/>
        <v/>
      </c>
      <c r="Z636" s="13" t="s">
        <v>1704</v>
      </c>
      <c r="AT636" s="1">
        <f t="shared" si="81"/>
        <v>0</v>
      </c>
      <c r="AU636" s="1">
        <f t="shared" si="82"/>
        <v>0</v>
      </c>
      <c r="AV636" s="1">
        <f t="shared" si="83"/>
        <v>0</v>
      </c>
      <c r="AW636" s="1">
        <f t="shared" si="84"/>
        <v>0</v>
      </c>
      <c r="AX636" s="1">
        <f t="shared" si="85"/>
        <v>0</v>
      </c>
    </row>
    <row r="637" spans="1:50" s="1" customFormat="1" ht="21.95" customHeight="1" outlineLevel="3" x14ac:dyDescent="0.2">
      <c r="A637" s="11"/>
      <c r="B637" s="12">
        <v>590</v>
      </c>
      <c r="C637" s="12">
        <v>840</v>
      </c>
      <c r="D637" s="12">
        <v>28448</v>
      </c>
      <c r="E637" s="13" t="s">
        <v>422</v>
      </c>
      <c r="F637" s="13" t="s">
        <v>2059</v>
      </c>
      <c r="G637" s="13" t="s">
        <v>56</v>
      </c>
      <c r="H637" s="13"/>
      <c r="I637" s="12">
        <v>2025</v>
      </c>
      <c r="J637" s="13" t="s">
        <v>2060</v>
      </c>
      <c r="K637" s="12">
        <v>9785961488975</v>
      </c>
      <c r="L637" s="13" t="s">
        <v>2061</v>
      </c>
      <c r="M637" s="12">
        <v>160</v>
      </c>
      <c r="N637" s="14">
        <v>0.45</v>
      </c>
      <c r="O637" s="12">
        <v>170</v>
      </c>
      <c r="P637" s="12">
        <v>250</v>
      </c>
      <c r="Q637" s="12">
        <v>10</v>
      </c>
      <c r="R637" s="13" t="s">
        <v>94</v>
      </c>
      <c r="S637" s="13" t="s">
        <v>426</v>
      </c>
      <c r="T637" s="15">
        <v>3000</v>
      </c>
      <c r="U637" s="13" t="s">
        <v>268</v>
      </c>
      <c r="V637" s="13" t="s">
        <v>59</v>
      </c>
      <c r="W637" s="12">
        <v>20</v>
      </c>
      <c r="X637" s="33" t="str">
        <f>HYPERLINK("https://www.alpinabook.ru/catalog/book-gratitude-diary","ссылка на книгу")</f>
        <v>ссылка на книгу</v>
      </c>
      <c r="Y637" s="34" t="str">
        <f t="shared" si="87"/>
        <v/>
      </c>
      <c r="Z637" s="13" t="s">
        <v>1704</v>
      </c>
      <c r="AT637" s="1">
        <f t="shared" si="81"/>
        <v>0</v>
      </c>
      <c r="AU637" s="1">
        <f t="shared" si="82"/>
        <v>0</v>
      </c>
      <c r="AV637" s="1">
        <f t="shared" si="83"/>
        <v>0</v>
      </c>
      <c r="AW637" s="1">
        <f t="shared" si="84"/>
        <v>0</v>
      </c>
      <c r="AX637" s="1">
        <f t="shared" si="85"/>
        <v>0</v>
      </c>
    </row>
    <row r="638" spans="1:50" s="1" customFormat="1" ht="24.95" customHeight="1" outlineLevel="3" x14ac:dyDescent="0.2">
      <c r="A638" s="11"/>
      <c r="B638" s="12">
        <v>740</v>
      </c>
      <c r="C638" s="15">
        <v>1090</v>
      </c>
      <c r="D638" s="12">
        <v>32043</v>
      </c>
      <c r="E638" s="13" t="s">
        <v>2062</v>
      </c>
      <c r="F638" s="13" t="s">
        <v>2063</v>
      </c>
      <c r="G638" s="13" t="s">
        <v>56</v>
      </c>
      <c r="H638" s="13" t="s">
        <v>40</v>
      </c>
      <c r="I638" s="12">
        <v>2025</v>
      </c>
      <c r="J638" s="13" t="s">
        <v>2064</v>
      </c>
      <c r="K638" s="12">
        <v>9785006300989</v>
      </c>
      <c r="L638" s="13" t="s">
        <v>2065</v>
      </c>
      <c r="M638" s="12">
        <v>216</v>
      </c>
      <c r="N638" s="14">
        <v>0.39</v>
      </c>
      <c r="O638" s="12">
        <v>150</v>
      </c>
      <c r="P638" s="12">
        <v>220</v>
      </c>
      <c r="Q638" s="12">
        <v>10</v>
      </c>
      <c r="R638" s="13" t="s">
        <v>43</v>
      </c>
      <c r="S638" s="13"/>
      <c r="T638" s="15">
        <v>3000</v>
      </c>
      <c r="U638" s="13" t="s">
        <v>268</v>
      </c>
      <c r="V638" s="13" t="s">
        <v>64</v>
      </c>
      <c r="W638" s="12">
        <v>20</v>
      </c>
      <c r="X638" s="33" t="str">
        <f>HYPERLINK("https://www.alpinabook.ru/catalog/book-kniga-obo-mne","ссылка на книгу")</f>
        <v>ссылка на книгу</v>
      </c>
      <c r="Y638" s="34" t="str">
        <f t="shared" si="87"/>
        <v/>
      </c>
      <c r="Z638" s="13" t="s">
        <v>1918</v>
      </c>
      <c r="AT638" s="1">
        <f t="shared" si="81"/>
        <v>0</v>
      </c>
      <c r="AU638" s="1">
        <f t="shared" si="82"/>
        <v>0</v>
      </c>
      <c r="AV638" s="1">
        <f t="shared" si="83"/>
        <v>0</v>
      </c>
      <c r="AW638" s="1">
        <f t="shared" si="84"/>
        <v>0</v>
      </c>
      <c r="AX638" s="1">
        <f t="shared" si="85"/>
        <v>0</v>
      </c>
    </row>
    <row r="639" spans="1:50" s="1" customFormat="1" ht="24.95" customHeight="1" outlineLevel="3" x14ac:dyDescent="0.2">
      <c r="A639" s="11"/>
      <c r="B639" s="12">
        <v>740</v>
      </c>
      <c r="C639" s="15">
        <v>1090</v>
      </c>
      <c r="D639" s="12">
        <v>32044</v>
      </c>
      <c r="E639" s="13" t="s">
        <v>2062</v>
      </c>
      <c r="F639" s="13" t="s">
        <v>2066</v>
      </c>
      <c r="G639" s="13" t="s">
        <v>56</v>
      </c>
      <c r="H639" s="13" t="s">
        <v>40</v>
      </c>
      <c r="I639" s="12">
        <v>2025</v>
      </c>
      <c r="J639" s="13" t="s">
        <v>2067</v>
      </c>
      <c r="K639" s="12">
        <v>9785006300996</v>
      </c>
      <c r="L639" s="13" t="s">
        <v>2068</v>
      </c>
      <c r="M639" s="12">
        <v>216</v>
      </c>
      <c r="N639" s="14">
        <v>0.39</v>
      </c>
      <c r="O639" s="12">
        <v>150</v>
      </c>
      <c r="P639" s="12">
        <v>220</v>
      </c>
      <c r="Q639" s="12">
        <v>10</v>
      </c>
      <c r="R639" s="13" t="s">
        <v>43</v>
      </c>
      <c r="S639" s="13"/>
      <c r="T639" s="15">
        <v>3000</v>
      </c>
      <c r="U639" s="13" t="s">
        <v>268</v>
      </c>
      <c r="V639" s="13" t="s">
        <v>64</v>
      </c>
      <c r="W639" s="12">
        <v>20</v>
      </c>
      <c r="X639" s="33" t="str">
        <f>HYPERLINK("https://www.alpinabook.ru/catalog/book-kniga-obo-mne","ссылка на книгу")</f>
        <v>ссылка на книгу</v>
      </c>
      <c r="Y639" s="34" t="str">
        <f t="shared" si="87"/>
        <v/>
      </c>
      <c r="Z639" s="13" t="s">
        <v>1918</v>
      </c>
      <c r="AT639" s="1">
        <f t="shared" si="81"/>
        <v>0</v>
      </c>
      <c r="AU639" s="1">
        <f t="shared" si="82"/>
        <v>0</v>
      </c>
      <c r="AV639" s="1">
        <f t="shared" si="83"/>
        <v>0</v>
      </c>
      <c r="AW639" s="1">
        <f t="shared" si="84"/>
        <v>0</v>
      </c>
      <c r="AX639" s="1">
        <f t="shared" si="85"/>
        <v>0</v>
      </c>
    </row>
    <row r="640" spans="1:50" s="1" customFormat="1" ht="21.95" customHeight="1" outlineLevel="3" x14ac:dyDescent="0.2">
      <c r="A640" s="11"/>
      <c r="B640" s="12">
        <v>640</v>
      </c>
      <c r="C640" s="12">
        <v>840</v>
      </c>
      <c r="D640" s="12">
        <v>26801</v>
      </c>
      <c r="E640" s="13" t="s">
        <v>597</v>
      </c>
      <c r="F640" s="13" t="s">
        <v>598</v>
      </c>
      <c r="G640" s="13" t="s">
        <v>56</v>
      </c>
      <c r="H640" s="13"/>
      <c r="I640" s="12">
        <v>2025</v>
      </c>
      <c r="J640" s="13" t="s">
        <v>599</v>
      </c>
      <c r="K640" s="12">
        <v>9785961482638</v>
      </c>
      <c r="L640" s="13" t="s">
        <v>600</v>
      </c>
      <c r="M640" s="12">
        <v>208</v>
      </c>
      <c r="N640" s="14">
        <v>0.33</v>
      </c>
      <c r="O640" s="12">
        <v>140</v>
      </c>
      <c r="P640" s="12">
        <v>210</v>
      </c>
      <c r="Q640" s="12">
        <v>16</v>
      </c>
      <c r="R640" s="13" t="s">
        <v>43</v>
      </c>
      <c r="S640" s="13"/>
      <c r="T640" s="15">
        <v>2000</v>
      </c>
      <c r="U640" s="13" t="s">
        <v>44</v>
      </c>
      <c r="V640" s="13" t="s">
        <v>45</v>
      </c>
      <c r="W640" s="12">
        <v>20</v>
      </c>
      <c r="X640" s="33" t="str">
        <f>HYPERLINK("https://www.alpinabook.ru/catalog/book-nash-god","ссылка на книгу")</f>
        <v>ссылка на книгу</v>
      </c>
      <c r="Y640" s="34" t="str">
        <f t="shared" si="87"/>
        <v/>
      </c>
      <c r="Z640" s="13" t="s">
        <v>77</v>
      </c>
      <c r="AT640" s="1">
        <f t="shared" si="81"/>
        <v>0</v>
      </c>
      <c r="AU640" s="1">
        <f t="shared" si="82"/>
        <v>0</v>
      </c>
      <c r="AV640" s="1">
        <f t="shared" si="83"/>
        <v>0</v>
      </c>
      <c r="AW640" s="1">
        <f t="shared" si="84"/>
        <v>0</v>
      </c>
      <c r="AX640" s="1">
        <f t="shared" si="85"/>
        <v>0</v>
      </c>
    </row>
    <row r="641" spans="1:50" s="1" customFormat="1" ht="21.95" customHeight="1" outlineLevel="3" x14ac:dyDescent="0.2">
      <c r="A641" s="11"/>
      <c r="B641" s="12">
        <v>640</v>
      </c>
      <c r="C641" s="12">
        <v>840</v>
      </c>
      <c r="D641" s="12">
        <v>29476</v>
      </c>
      <c r="E641" s="13" t="s">
        <v>597</v>
      </c>
      <c r="F641" s="13" t="s">
        <v>601</v>
      </c>
      <c r="G641" s="13" t="s">
        <v>56</v>
      </c>
      <c r="H641" s="13"/>
      <c r="I641" s="12">
        <v>2025</v>
      </c>
      <c r="J641" s="13" t="s">
        <v>602</v>
      </c>
      <c r="K641" s="12">
        <v>9785961492743</v>
      </c>
      <c r="L641" s="13" t="s">
        <v>603</v>
      </c>
      <c r="M641" s="12">
        <v>208</v>
      </c>
      <c r="N641" s="14">
        <v>0.33</v>
      </c>
      <c r="O641" s="12">
        <v>140</v>
      </c>
      <c r="P641" s="12">
        <v>210</v>
      </c>
      <c r="Q641" s="12">
        <v>16</v>
      </c>
      <c r="R641" s="13" t="s">
        <v>43</v>
      </c>
      <c r="S641" s="13"/>
      <c r="T641" s="15">
        <v>1500</v>
      </c>
      <c r="U641" s="13" t="s">
        <v>604</v>
      </c>
      <c r="V641" s="13" t="s">
        <v>45</v>
      </c>
      <c r="W641" s="12">
        <v>20</v>
      </c>
      <c r="X641" s="33" t="str">
        <f>HYPERLINK("https://www.alpinabook.ru/catalog/book-nash-god","ссылка на книгу")</f>
        <v>ссылка на книгу</v>
      </c>
      <c r="Y641" s="34" t="str">
        <f t="shared" si="87"/>
        <v/>
      </c>
      <c r="Z641" s="13" t="s">
        <v>70</v>
      </c>
      <c r="AT641" s="1">
        <f t="shared" si="81"/>
        <v>0</v>
      </c>
      <c r="AU641" s="1">
        <f t="shared" si="82"/>
        <v>0</v>
      </c>
      <c r="AV641" s="1">
        <f t="shared" si="83"/>
        <v>0</v>
      </c>
      <c r="AW641" s="1">
        <f t="shared" si="84"/>
        <v>0</v>
      </c>
      <c r="AX641" s="1">
        <f t="shared" si="85"/>
        <v>0</v>
      </c>
    </row>
    <row r="642" spans="1:50" s="1" customFormat="1" ht="21.95" customHeight="1" outlineLevel="3" x14ac:dyDescent="0.2">
      <c r="A642" s="26"/>
      <c r="B642" s="27">
        <v>490</v>
      </c>
      <c r="C642" s="27">
        <v>740</v>
      </c>
      <c r="D642" s="27">
        <v>28677</v>
      </c>
      <c r="E642" s="29" t="s">
        <v>283</v>
      </c>
      <c r="F642" s="29" t="s">
        <v>2069</v>
      </c>
      <c r="G642" s="29" t="s">
        <v>56</v>
      </c>
      <c r="H642" s="29"/>
      <c r="I642" s="27">
        <v>2024</v>
      </c>
      <c r="J642" s="29" t="s">
        <v>2070</v>
      </c>
      <c r="K642" s="27">
        <v>9785961489651</v>
      </c>
      <c r="L642" s="29" t="s">
        <v>2071</v>
      </c>
      <c r="M642" s="27">
        <v>376</v>
      </c>
      <c r="N642" s="30">
        <v>0.54</v>
      </c>
      <c r="O642" s="27">
        <v>150</v>
      </c>
      <c r="P642" s="27">
        <v>220</v>
      </c>
      <c r="Q642" s="27">
        <v>10</v>
      </c>
      <c r="R642" s="29" t="s">
        <v>43</v>
      </c>
      <c r="S642" s="29"/>
      <c r="T642" s="28">
        <v>3000</v>
      </c>
      <c r="U642" s="29" t="s">
        <v>52</v>
      </c>
      <c r="V642" s="29" t="s">
        <v>59</v>
      </c>
      <c r="W642" s="27">
        <v>20</v>
      </c>
      <c r="X642" s="37" t="str">
        <f>HYPERLINK("https://www.alpinabook.ru/catalog/book-odin-vopros-v-den-dlya-obreteniya-spokoystviya","ссылка на книгу")</f>
        <v>ссылка на книгу</v>
      </c>
      <c r="Y642" s="38" t="str">
        <f t="shared" si="87"/>
        <v/>
      </c>
      <c r="Z642" s="29"/>
      <c r="AT642" s="1">
        <f t="shared" si="81"/>
        <v>0</v>
      </c>
      <c r="AU642" s="1">
        <f t="shared" si="82"/>
        <v>0</v>
      </c>
      <c r="AV642" s="1">
        <f t="shared" si="83"/>
        <v>0</v>
      </c>
      <c r="AW642" s="1">
        <f t="shared" si="84"/>
        <v>0</v>
      </c>
      <c r="AX642" s="1">
        <f t="shared" si="85"/>
        <v>0</v>
      </c>
    </row>
    <row r="643" spans="1:50" s="1" customFormat="1" ht="21.95" customHeight="1" outlineLevel="3" x14ac:dyDescent="0.2">
      <c r="A643" s="11"/>
      <c r="B643" s="12">
        <v>490</v>
      </c>
      <c r="C643" s="12">
        <v>740</v>
      </c>
      <c r="D643" s="12">
        <v>27236</v>
      </c>
      <c r="E643" s="13" t="s">
        <v>283</v>
      </c>
      <c r="F643" s="13" t="s">
        <v>2072</v>
      </c>
      <c r="G643" s="13" t="s">
        <v>56</v>
      </c>
      <c r="H643" s="13" t="s">
        <v>40</v>
      </c>
      <c r="I643" s="12">
        <v>2024</v>
      </c>
      <c r="J643" s="13" t="s">
        <v>2073</v>
      </c>
      <c r="K643" s="12">
        <v>9785961484236</v>
      </c>
      <c r="L643" s="13" t="s">
        <v>2074</v>
      </c>
      <c r="M643" s="12">
        <v>370</v>
      </c>
      <c r="N643" s="14">
        <v>0.54</v>
      </c>
      <c r="O643" s="12">
        <v>150</v>
      </c>
      <c r="P643" s="12">
        <v>220</v>
      </c>
      <c r="Q643" s="12">
        <v>10</v>
      </c>
      <c r="R643" s="13" t="s">
        <v>43</v>
      </c>
      <c r="S643" s="13"/>
      <c r="T643" s="15">
        <v>7000</v>
      </c>
      <c r="U643" s="13" t="s">
        <v>52</v>
      </c>
      <c r="V643" s="13" t="s">
        <v>59</v>
      </c>
      <c r="W643" s="12">
        <v>20</v>
      </c>
      <c r="X643" s="33" t="str">
        <f>HYPERLINK("https://www.alpinabook.ru/catalog/book-odin-vopros-v-den","ссылка на книгу")</f>
        <v>ссылка на книгу</v>
      </c>
      <c r="Y643" s="34" t="str">
        <f t="shared" si="87"/>
        <v/>
      </c>
      <c r="Z643" s="13"/>
      <c r="AT643" s="1">
        <f t="shared" si="81"/>
        <v>0</v>
      </c>
      <c r="AU643" s="1">
        <f t="shared" si="82"/>
        <v>0</v>
      </c>
      <c r="AV643" s="1">
        <f t="shared" si="83"/>
        <v>0</v>
      </c>
      <c r="AW643" s="1">
        <f t="shared" si="84"/>
        <v>0</v>
      </c>
      <c r="AX643" s="1">
        <f t="shared" si="85"/>
        <v>0</v>
      </c>
    </row>
    <row r="644" spans="1:50" s="1" customFormat="1" ht="21.95" customHeight="1" outlineLevel="3" x14ac:dyDescent="0.2">
      <c r="A644" s="11"/>
      <c r="B644" s="12">
        <v>490</v>
      </c>
      <c r="C644" s="12">
        <v>740</v>
      </c>
      <c r="D644" s="12">
        <v>27838</v>
      </c>
      <c r="E644" s="13" t="s">
        <v>283</v>
      </c>
      <c r="F644" s="13" t="s">
        <v>2075</v>
      </c>
      <c r="G644" s="13" t="s">
        <v>56</v>
      </c>
      <c r="H644" s="13" t="s">
        <v>40</v>
      </c>
      <c r="I644" s="12">
        <v>2024</v>
      </c>
      <c r="J644" s="13" t="s">
        <v>2076</v>
      </c>
      <c r="K644" s="12">
        <v>9785961486469</v>
      </c>
      <c r="L644" s="13" t="s">
        <v>2077</v>
      </c>
      <c r="M644" s="12">
        <v>370</v>
      </c>
      <c r="N644" s="14">
        <v>0.54</v>
      </c>
      <c r="O644" s="12">
        <v>150</v>
      </c>
      <c r="P644" s="12">
        <v>220</v>
      </c>
      <c r="Q644" s="12">
        <v>10</v>
      </c>
      <c r="R644" s="13" t="s">
        <v>43</v>
      </c>
      <c r="S644" s="13"/>
      <c r="T644" s="15">
        <v>4000</v>
      </c>
      <c r="U644" s="13" t="s">
        <v>52</v>
      </c>
      <c r="V644" s="13" t="s">
        <v>59</v>
      </c>
      <c r="W644" s="12">
        <v>20</v>
      </c>
      <c r="X644" s="33" t="str">
        <f>HYPERLINK("https://www.alpinabook.ru/catalog/book-odin-vopros-v-den","ссылка на книгу")</f>
        <v>ссылка на книгу</v>
      </c>
      <c r="Y644" s="34" t="str">
        <f t="shared" si="87"/>
        <v/>
      </c>
      <c r="Z644" s="13"/>
      <c r="AT644" s="1">
        <f t="shared" si="81"/>
        <v>0</v>
      </c>
      <c r="AU644" s="1">
        <f t="shared" si="82"/>
        <v>0</v>
      </c>
      <c r="AV644" s="1">
        <f t="shared" si="83"/>
        <v>0</v>
      </c>
      <c r="AW644" s="1">
        <f t="shared" si="84"/>
        <v>0</v>
      </c>
      <c r="AX644" s="1">
        <f t="shared" si="85"/>
        <v>0</v>
      </c>
    </row>
    <row r="645" spans="1:50" s="1" customFormat="1" ht="21.95" customHeight="1" outlineLevel="3" x14ac:dyDescent="0.2">
      <c r="A645" s="11"/>
      <c r="B645" s="12">
        <v>490</v>
      </c>
      <c r="C645" s="12">
        <v>740</v>
      </c>
      <c r="D645" s="12">
        <v>32844</v>
      </c>
      <c r="E645" s="13" t="s">
        <v>283</v>
      </c>
      <c r="F645" s="13" t="s">
        <v>2078</v>
      </c>
      <c r="G645" s="13" t="s">
        <v>56</v>
      </c>
      <c r="H645" s="13" t="s">
        <v>40</v>
      </c>
      <c r="I645" s="12">
        <v>2025</v>
      </c>
      <c r="J645" s="13" t="s">
        <v>2079</v>
      </c>
      <c r="K645" s="12">
        <v>9785006303201</v>
      </c>
      <c r="L645" s="13" t="s">
        <v>2080</v>
      </c>
      <c r="M645" s="12">
        <v>370</v>
      </c>
      <c r="N645" s="14">
        <v>0.55000000000000004</v>
      </c>
      <c r="O645" s="12">
        <v>150</v>
      </c>
      <c r="P645" s="12">
        <v>220</v>
      </c>
      <c r="Q645" s="12">
        <v>10</v>
      </c>
      <c r="R645" s="13" t="s">
        <v>43</v>
      </c>
      <c r="S645" s="13"/>
      <c r="T645" s="15">
        <v>2000</v>
      </c>
      <c r="U645" s="13" t="s">
        <v>52</v>
      </c>
      <c r="V645" s="13" t="s">
        <v>59</v>
      </c>
      <c r="W645" s="12">
        <v>20</v>
      </c>
      <c r="X645" s="33" t="str">
        <f>HYPERLINK("https://www.alpinabook.ru/catalog/book-odin-vopros-v-den","ссылка на книгу")</f>
        <v>ссылка на книгу</v>
      </c>
      <c r="Y645" s="34" t="str">
        <f t="shared" si="87"/>
        <v/>
      </c>
      <c r="Z645" s="13" t="s">
        <v>334</v>
      </c>
      <c r="AT645" s="1">
        <f t="shared" si="81"/>
        <v>0</v>
      </c>
      <c r="AU645" s="1">
        <f t="shared" si="82"/>
        <v>0</v>
      </c>
      <c r="AV645" s="1">
        <f t="shared" si="83"/>
        <v>0</v>
      </c>
      <c r="AW645" s="1">
        <f t="shared" si="84"/>
        <v>0</v>
      </c>
      <c r="AX645" s="1">
        <f t="shared" si="85"/>
        <v>0</v>
      </c>
    </row>
    <row r="646" spans="1:50" s="1" customFormat="1" ht="24.95" customHeight="1" outlineLevel="3" x14ac:dyDescent="0.2">
      <c r="A646" s="11"/>
      <c r="B646" s="12">
        <v>550</v>
      </c>
      <c r="C646" s="12">
        <v>790</v>
      </c>
      <c r="D646" s="12">
        <v>31291</v>
      </c>
      <c r="E646" s="13" t="s">
        <v>147</v>
      </c>
      <c r="F646" s="13" t="s">
        <v>148</v>
      </c>
      <c r="G646" s="13" t="s">
        <v>56</v>
      </c>
      <c r="H646" s="13" t="s">
        <v>40</v>
      </c>
      <c r="I646" s="12">
        <v>2025</v>
      </c>
      <c r="J646" s="13" t="s">
        <v>149</v>
      </c>
      <c r="K646" s="12">
        <v>9785961498127</v>
      </c>
      <c r="L646" s="13" t="s">
        <v>150</v>
      </c>
      <c r="M646" s="12">
        <v>174</v>
      </c>
      <c r="N646" s="14">
        <v>0.41</v>
      </c>
      <c r="O646" s="12">
        <v>170</v>
      </c>
      <c r="P646" s="12">
        <v>240</v>
      </c>
      <c r="Q646" s="12">
        <v>10</v>
      </c>
      <c r="R646" s="13" t="s">
        <v>94</v>
      </c>
      <c r="S646" s="13" t="s">
        <v>141</v>
      </c>
      <c r="T646" s="15">
        <v>2000</v>
      </c>
      <c r="U646" s="13" t="s">
        <v>52</v>
      </c>
      <c r="V646" s="13" t="s">
        <v>45</v>
      </c>
      <c r="W646" s="12">
        <v>10</v>
      </c>
      <c r="X646" s="33" t="str">
        <f>HYPERLINK("https://www.alpinabook.ru/catalog/book-otpusti-vnutrennego-kritika","ссылка на книгу")</f>
        <v>ссылка на книгу</v>
      </c>
      <c r="Y646" s="34" t="str">
        <f>HYPERLINK("https://api-enni.alpina.ru/FilePrivilegesApproval/782","https://api-enni.alpina.ru/FilePrivilegesApproval/782")</f>
        <v>https://api-enni.alpina.ru/FilePrivilegesApproval/782</v>
      </c>
      <c r="Z646" s="13" t="s">
        <v>151</v>
      </c>
      <c r="AT646" s="1">
        <f t="shared" si="81"/>
        <v>0</v>
      </c>
      <c r="AU646" s="1">
        <f t="shared" si="82"/>
        <v>0</v>
      </c>
      <c r="AV646" s="1">
        <f t="shared" si="83"/>
        <v>0</v>
      </c>
      <c r="AW646" s="1">
        <f t="shared" si="84"/>
        <v>0</v>
      </c>
      <c r="AX646" s="1">
        <f t="shared" si="85"/>
        <v>0</v>
      </c>
    </row>
    <row r="647" spans="1:50" s="1" customFormat="1" ht="21.95" customHeight="1" outlineLevel="3" x14ac:dyDescent="0.2">
      <c r="A647" s="11"/>
      <c r="B647" s="12">
        <v>490</v>
      </c>
      <c r="C647" s="12">
        <v>740</v>
      </c>
      <c r="D647" s="12">
        <v>30608</v>
      </c>
      <c r="E647" s="13" t="s">
        <v>2081</v>
      </c>
      <c r="F647" s="13" t="s">
        <v>2082</v>
      </c>
      <c r="G647" s="13" t="s">
        <v>56</v>
      </c>
      <c r="H647" s="13" t="s">
        <v>164</v>
      </c>
      <c r="I647" s="12">
        <v>2025</v>
      </c>
      <c r="J647" s="13" t="s">
        <v>2083</v>
      </c>
      <c r="K647" s="12">
        <v>9785961496048</v>
      </c>
      <c r="L647" s="13" t="s">
        <v>2084</v>
      </c>
      <c r="M647" s="12">
        <v>192</v>
      </c>
      <c r="N647" s="14">
        <v>0.31</v>
      </c>
      <c r="O647" s="12">
        <v>140</v>
      </c>
      <c r="P647" s="12">
        <v>210</v>
      </c>
      <c r="Q647" s="12">
        <v>20</v>
      </c>
      <c r="R647" s="13" t="s">
        <v>43</v>
      </c>
      <c r="S647" s="13"/>
      <c r="T647" s="15">
        <v>3000</v>
      </c>
      <c r="U647" s="13" t="s">
        <v>604</v>
      </c>
      <c r="V647" s="13" t="s">
        <v>59</v>
      </c>
      <c r="W647" s="12">
        <v>20</v>
      </c>
      <c r="X647" s="33" t="str">
        <f>HYPERLINK("https://www.alpinabook.ru/catalog/book-proshchay-grust","ссылка на книгу")</f>
        <v>ссылка на книгу</v>
      </c>
      <c r="Y647" s="34" t="str">
        <f>HYPERLINK("","")</f>
        <v/>
      </c>
      <c r="Z647" s="13"/>
      <c r="AT647" s="1">
        <f t="shared" si="81"/>
        <v>0</v>
      </c>
      <c r="AU647" s="1">
        <f t="shared" si="82"/>
        <v>0</v>
      </c>
      <c r="AV647" s="1">
        <f t="shared" si="83"/>
        <v>0</v>
      </c>
      <c r="AW647" s="1">
        <f t="shared" si="84"/>
        <v>0</v>
      </c>
      <c r="AX647" s="1">
        <f t="shared" si="85"/>
        <v>0</v>
      </c>
    </row>
    <row r="648" spans="1:50" s="1" customFormat="1" ht="24.95" customHeight="1" outlineLevel="3" x14ac:dyDescent="0.2">
      <c r="A648" s="11"/>
      <c r="B648" s="12">
        <v>690</v>
      </c>
      <c r="C648" s="12">
        <v>990</v>
      </c>
      <c r="D648" s="12">
        <v>22773</v>
      </c>
      <c r="E648" s="13" t="s">
        <v>715</v>
      </c>
      <c r="F648" s="13" t="s">
        <v>2085</v>
      </c>
      <c r="G648" s="13" t="s">
        <v>56</v>
      </c>
      <c r="H648" s="13" t="s">
        <v>40</v>
      </c>
      <c r="I648" s="12">
        <v>2025</v>
      </c>
      <c r="J648" s="13" t="s">
        <v>2086</v>
      </c>
      <c r="K648" s="12">
        <v>9785961462623</v>
      </c>
      <c r="L648" s="13" t="s">
        <v>2087</v>
      </c>
      <c r="M648" s="12">
        <v>310</v>
      </c>
      <c r="N648" s="14">
        <v>0.63</v>
      </c>
      <c r="O648" s="12">
        <v>170</v>
      </c>
      <c r="P648" s="12">
        <v>240</v>
      </c>
      <c r="Q648" s="12">
        <v>6</v>
      </c>
      <c r="R648" s="13" t="s">
        <v>94</v>
      </c>
      <c r="S648" s="13"/>
      <c r="T648" s="15">
        <v>4000</v>
      </c>
      <c r="U648" s="13" t="s">
        <v>44</v>
      </c>
      <c r="V648" s="13" t="s">
        <v>59</v>
      </c>
      <c r="W648" s="12">
        <v>10</v>
      </c>
      <c r="X648" s="33" t="str">
        <f>HYPERLINK("https://www.alpinabook.ru/catalog/book-7-navykov-vysokoeffektivnykh-lyudey-na-praktike","ссылка на книгу")</f>
        <v>ссылка на книгу</v>
      </c>
      <c r="Y648" s="34" t="str">
        <f>HYPERLINK("https://api-enni.alpina.ru/FilePrivilegesApproval/177","https://api-enni.alpina.ru/FilePrivilegesApproval/177")</f>
        <v>https://api-enni.alpina.ru/FilePrivilegesApproval/177</v>
      </c>
      <c r="Z648" s="13" t="s">
        <v>865</v>
      </c>
      <c r="AT648" s="1">
        <f t="shared" si="81"/>
        <v>0</v>
      </c>
      <c r="AU648" s="1">
        <f t="shared" si="82"/>
        <v>0</v>
      </c>
      <c r="AV648" s="1">
        <f t="shared" si="83"/>
        <v>0</v>
      </c>
      <c r="AW648" s="1">
        <f t="shared" si="84"/>
        <v>0</v>
      </c>
      <c r="AX648" s="1">
        <f t="shared" si="85"/>
        <v>0</v>
      </c>
    </row>
    <row r="649" spans="1:50" s="1" customFormat="1" ht="21.95" customHeight="1" outlineLevel="3" x14ac:dyDescent="0.2">
      <c r="A649" s="11"/>
      <c r="B649" s="12">
        <v>790</v>
      </c>
      <c r="C649" s="15">
        <v>1190</v>
      </c>
      <c r="D649" s="12">
        <v>23336</v>
      </c>
      <c r="E649" s="13" t="s">
        <v>422</v>
      </c>
      <c r="F649" s="13" t="s">
        <v>2088</v>
      </c>
      <c r="G649" s="13" t="s">
        <v>56</v>
      </c>
      <c r="H649" s="13"/>
      <c r="I649" s="12">
        <v>2024</v>
      </c>
      <c r="J649" s="13" t="s">
        <v>2089</v>
      </c>
      <c r="K649" s="12">
        <v>9785961474107</v>
      </c>
      <c r="L649" s="13" t="s">
        <v>2090</v>
      </c>
      <c r="M649" s="12">
        <v>64</v>
      </c>
      <c r="N649" s="14">
        <v>0.45</v>
      </c>
      <c r="O649" s="12">
        <v>170</v>
      </c>
      <c r="P649" s="12">
        <v>240</v>
      </c>
      <c r="Q649" s="12">
        <v>10</v>
      </c>
      <c r="R649" s="13" t="s">
        <v>94</v>
      </c>
      <c r="S649" s="13" t="s">
        <v>426</v>
      </c>
      <c r="T649" s="15">
        <v>3000</v>
      </c>
      <c r="U649" s="13" t="s">
        <v>604</v>
      </c>
      <c r="V649" s="13" t="s">
        <v>64</v>
      </c>
      <c r="W649" s="12">
        <v>20</v>
      </c>
      <c r="X649" s="33" t="str">
        <f>HYPERLINK("https://www.alpinabook.ru/catalog/book-tetradi-dlya-refleksii","ссылка на книгу")</f>
        <v>ссылка на книгу</v>
      </c>
      <c r="Y649" s="34" t="str">
        <f>HYPERLINK("","")</f>
        <v/>
      </c>
      <c r="Z649" s="13"/>
      <c r="AT649" s="1">
        <f t="shared" si="81"/>
        <v>0</v>
      </c>
      <c r="AU649" s="1">
        <f t="shared" si="82"/>
        <v>0</v>
      </c>
      <c r="AV649" s="1">
        <f t="shared" si="83"/>
        <v>0</v>
      </c>
      <c r="AW649" s="1">
        <f t="shared" si="84"/>
        <v>0</v>
      </c>
      <c r="AX649" s="1">
        <f t="shared" si="85"/>
        <v>0</v>
      </c>
    </row>
    <row r="650" spans="1:50" ht="15" customHeight="1" outlineLevel="1" x14ac:dyDescent="0.2">
      <c r="A650" s="39" t="s">
        <v>2091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19"/>
    </row>
    <row r="651" spans="1:50" ht="11.1" customHeight="1" outlineLevel="2" x14ac:dyDescent="0.2">
      <c r="A651" s="40" t="s">
        <v>2092</v>
      </c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20"/>
    </row>
    <row r="652" spans="1:50" s="1" customFormat="1" ht="24.95" customHeight="1" outlineLevel="3" x14ac:dyDescent="0.2">
      <c r="A652" s="21"/>
      <c r="B652" s="22">
        <v>390</v>
      </c>
      <c r="C652" s="22">
        <v>640</v>
      </c>
      <c r="D652" s="22">
        <v>12711</v>
      </c>
      <c r="E652" s="23" t="s">
        <v>2093</v>
      </c>
      <c r="F652" s="23" t="s">
        <v>2094</v>
      </c>
      <c r="G652" s="23" t="s">
        <v>86</v>
      </c>
      <c r="H652" s="23" t="s">
        <v>40</v>
      </c>
      <c r="I652" s="22">
        <v>2024</v>
      </c>
      <c r="J652" s="23" t="s">
        <v>2095</v>
      </c>
      <c r="K652" s="22">
        <v>9785001391401</v>
      </c>
      <c r="L652" s="23" t="s">
        <v>2096</v>
      </c>
      <c r="M652" s="22">
        <v>314</v>
      </c>
      <c r="N652" s="24">
        <v>0.2</v>
      </c>
      <c r="O652" s="22">
        <v>110</v>
      </c>
      <c r="P652" s="22">
        <v>160</v>
      </c>
      <c r="Q652" s="22">
        <v>28</v>
      </c>
      <c r="R652" s="23" t="s">
        <v>75</v>
      </c>
      <c r="S652" s="23" t="s">
        <v>160</v>
      </c>
      <c r="T652" s="25">
        <v>2000</v>
      </c>
      <c r="U652" s="23" t="s">
        <v>44</v>
      </c>
      <c r="V652" s="23" t="s">
        <v>59</v>
      </c>
      <c r="W652" s="22">
        <v>10</v>
      </c>
      <c r="X652" s="35" t="str">
        <f>HYPERLINK("https://www.alpinabook.ru/catalog/book-memo","ссылка на книгу")</f>
        <v>ссылка на книгу</v>
      </c>
      <c r="Y652" s="36" t="str">
        <f>HYPERLINK("https://api-enni.alpina.ru/FilePrivilegesApproval/150","https://api-enni.alpina.ru/FilePrivilegesApproval/150")</f>
        <v>https://api-enni.alpina.ru/FilePrivilegesApproval/150</v>
      </c>
      <c r="Z652" s="23"/>
      <c r="AT652" s="1">
        <f t="shared" ref="AT652:AT664" si="88">IF($A652&lt;&gt;0,1,0)</f>
        <v>0</v>
      </c>
      <c r="AU652" s="1">
        <f t="shared" ref="AU652:AU664" si="89">$A652*$B652</f>
        <v>0</v>
      </c>
      <c r="AV652" s="1">
        <f t="shared" ref="AV652:AV664" si="90">$A652*$N652</f>
        <v>0</v>
      </c>
      <c r="AW652" s="1">
        <f t="shared" ref="AW652:AW664" si="91">IF($Q652=0,0,INT($A652/$Q652))</f>
        <v>0</v>
      </c>
      <c r="AX652" s="1">
        <f t="shared" ref="AX652:AX664" si="92">$A652-$AW652*$Q652</f>
        <v>0</v>
      </c>
    </row>
    <row r="653" spans="1:50" s="1" customFormat="1" ht="24.95" customHeight="1" outlineLevel="3" x14ac:dyDescent="0.2">
      <c r="A653" s="21"/>
      <c r="B653" s="22">
        <v>720</v>
      </c>
      <c r="C653" s="25">
        <v>1090</v>
      </c>
      <c r="D653" s="22">
        <v>27192</v>
      </c>
      <c r="E653" s="23" t="s">
        <v>2097</v>
      </c>
      <c r="F653" s="23" t="s">
        <v>2098</v>
      </c>
      <c r="G653" s="23" t="s">
        <v>86</v>
      </c>
      <c r="H653" s="23" t="s">
        <v>40</v>
      </c>
      <c r="I653" s="22">
        <v>2023</v>
      </c>
      <c r="J653" s="23" t="s">
        <v>2099</v>
      </c>
      <c r="K653" s="22">
        <v>9785001398974</v>
      </c>
      <c r="L653" s="23" t="s">
        <v>2100</v>
      </c>
      <c r="M653" s="22">
        <v>368</v>
      </c>
      <c r="N653" s="24">
        <v>0.45</v>
      </c>
      <c r="O653" s="22">
        <v>130</v>
      </c>
      <c r="P653" s="22">
        <v>210</v>
      </c>
      <c r="Q653" s="22">
        <v>12</v>
      </c>
      <c r="R653" s="23" t="s">
        <v>82</v>
      </c>
      <c r="S653" s="23"/>
      <c r="T653" s="25">
        <v>3000</v>
      </c>
      <c r="U653" s="23" t="s">
        <v>52</v>
      </c>
      <c r="V653" s="23" t="s">
        <v>59</v>
      </c>
      <c r="W653" s="22">
        <v>10</v>
      </c>
      <c r="X653" s="35" t="str">
        <f>HYPERLINK("https://www.alpinabook.ru/catalog/book-doyti-do-tochki","ссылка на книгу")</f>
        <v>ссылка на книгу</v>
      </c>
      <c r="Y653" s="36" t="str">
        <f>HYPERLINK("https://api-enni.alpina.ru/FilePrivilegesApproval/575","https://api-enni.alpina.ru/FilePrivilegesApproval/575")</f>
        <v>https://api-enni.alpina.ru/FilePrivilegesApproval/575</v>
      </c>
      <c r="Z653" s="23"/>
      <c r="AT653" s="1">
        <f t="shared" si="88"/>
        <v>0</v>
      </c>
      <c r="AU653" s="1">
        <f t="shared" si="89"/>
        <v>0</v>
      </c>
      <c r="AV653" s="1">
        <f t="shared" si="90"/>
        <v>0</v>
      </c>
      <c r="AW653" s="1">
        <f t="shared" si="91"/>
        <v>0</v>
      </c>
      <c r="AX653" s="1">
        <f t="shared" si="92"/>
        <v>0</v>
      </c>
    </row>
    <row r="654" spans="1:50" s="1" customFormat="1" ht="24.95" customHeight="1" outlineLevel="3" x14ac:dyDescent="0.2">
      <c r="A654" s="21"/>
      <c r="B654" s="25">
        <v>1490</v>
      </c>
      <c r="C654" s="25">
        <v>1890</v>
      </c>
      <c r="D654" s="22">
        <v>13894</v>
      </c>
      <c r="E654" s="23" t="s">
        <v>2101</v>
      </c>
      <c r="F654" s="23" t="s">
        <v>2102</v>
      </c>
      <c r="G654" s="23" t="s">
        <v>86</v>
      </c>
      <c r="H654" s="23" t="s">
        <v>40</v>
      </c>
      <c r="I654" s="22">
        <v>2024</v>
      </c>
      <c r="J654" s="23" t="s">
        <v>2103</v>
      </c>
      <c r="K654" s="22">
        <v>9785001391944</v>
      </c>
      <c r="L654" s="23" t="s">
        <v>2104</v>
      </c>
      <c r="M654" s="22">
        <v>400</v>
      </c>
      <c r="N654" s="24">
        <v>0.73</v>
      </c>
      <c r="O654" s="22">
        <v>170</v>
      </c>
      <c r="P654" s="22">
        <v>220</v>
      </c>
      <c r="Q654" s="22">
        <v>6</v>
      </c>
      <c r="R654" s="23" t="s">
        <v>100</v>
      </c>
      <c r="S654" s="23"/>
      <c r="T654" s="25">
        <v>2000</v>
      </c>
      <c r="U654" s="23" t="s">
        <v>44</v>
      </c>
      <c r="V654" s="23" t="s">
        <v>59</v>
      </c>
      <c r="W654" s="22">
        <v>10</v>
      </c>
      <c r="X654" s="35" t="str">
        <f>HYPERLINK("https://www.alpinabook.ru/catalog/book-kak-rabotaet-muzyka","ссылка на книгу")</f>
        <v>ссылка на книгу</v>
      </c>
      <c r="Y654" s="36" t="str">
        <f>HYPERLINK("https://api-enni.alpina.ru/FilePrivilegesApproval/207","https://api-enni.alpina.ru/FilePrivilegesApproval/207")</f>
        <v>https://api-enni.alpina.ru/FilePrivilegesApproval/207</v>
      </c>
      <c r="Z654" s="23"/>
      <c r="AT654" s="1">
        <f t="shared" si="88"/>
        <v>0</v>
      </c>
      <c r="AU654" s="1">
        <f t="shared" si="89"/>
        <v>0</v>
      </c>
      <c r="AV654" s="1">
        <f t="shared" si="90"/>
        <v>0</v>
      </c>
      <c r="AW654" s="1">
        <f t="shared" si="91"/>
        <v>0</v>
      </c>
      <c r="AX654" s="1">
        <f t="shared" si="92"/>
        <v>0</v>
      </c>
    </row>
    <row r="655" spans="1:50" s="1" customFormat="1" ht="21.95" customHeight="1" outlineLevel="3" x14ac:dyDescent="0.2">
      <c r="A655" s="21"/>
      <c r="B655" s="22">
        <v>690</v>
      </c>
      <c r="C655" s="22">
        <v>990</v>
      </c>
      <c r="D655" s="22">
        <v>32430</v>
      </c>
      <c r="E655" s="23" t="s">
        <v>2105</v>
      </c>
      <c r="F655" s="23" t="s">
        <v>2106</v>
      </c>
      <c r="G655" s="23" t="s">
        <v>163</v>
      </c>
      <c r="H655" s="23"/>
      <c r="I655" s="22">
        <v>2025</v>
      </c>
      <c r="J655" s="23" t="s">
        <v>2107</v>
      </c>
      <c r="K655" s="22">
        <v>9785006302259</v>
      </c>
      <c r="L655" s="23" t="s">
        <v>2108</v>
      </c>
      <c r="M655" s="22">
        <v>152</v>
      </c>
      <c r="N655" s="24">
        <v>0.28999999999999998</v>
      </c>
      <c r="O655" s="22">
        <v>150</v>
      </c>
      <c r="P655" s="22">
        <v>220</v>
      </c>
      <c r="Q655" s="22">
        <v>10</v>
      </c>
      <c r="R655" s="23" t="s">
        <v>43</v>
      </c>
      <c r="S655" s="23"/>
      <c r="T655" s="25">
        <v>1500</v>
      </c>
      <c r="U655" s="23" t="s">
        <v>52</v>
      </c>
      <c r="V655" s="23" t="s">
        <v>89</v>
      </c>
      <c r="W655" s="22">
        <v>20</v>
      </c>
      <c r="X655" s="35" t="str">
        <f>HYPERLINK("https://www.alpinabook.ru/catalog/book-kak-smotret-kino-18","ссылка на книгу")</f>
        <v>ссылка на книгу</v>
      </c>
      <c r="Y655" s="36" t="str">
        <f>HYPERLINK("","")</f>
        <v/>
      </c>
      <c r="Z655" s="23" t="s">
        <v>77</v>
      </c>
      <c r="AT655" s="1">
        <f t="shared" si="88"/>
        <v>0</v>
      </c>
      <c r="AU655" s="1">
        <f t="shared" si="89"/>
        <v>0</v>
      </c>
      <c r="AV655" s="1">
        <f t="shared" si="90"/>
        <v>0</v>
      </c>
      <c r="AW655" s="1">
        <f t="shared" si="91"/>
        <v>0</v>
      </c>
      <c r="AX655" s="1">
        <f t="shared" si="92"/>
        <v>0</v>
      </c>
    </row>
    <row r="656" spans="1:50" s="1" customFormat="1" ht="24.95" customHeight="1" outlineLevel="3" x14ac:dyDescent="0.2">
      <c r="A656" s="26"/>
      <c r="B656" s="27">
        <v>590</v>
      </c>
      <c r="C656" s="27">
        <v>590</v>
      </c>
      <c r="D656" s="27">
        <v>12489</v>
      </c>
      <c r="E656" s="29" t="s">
        <v>2109</v>
      </c>
      <c r="F656" s="29" t="s">
        <v>2110</v>
      </c>
      <c r="G656" s="29" t="s">
        <v>56</v>
      </c>
      <c r="H656" s="29" t="s">
        <v>40</v>
      </c>
      <c r="I656" s="27">
        <v>2020</v>
      </c>
      <c r="J656" s="29" t="s">
        <v>2111</v>
      </c>
      <c r="K656" s="27">
        <v>9785961431308</v>
      </c>
      <c r="L656" s="29" t="s">
        <v>2112</v>
      </c>
      <c r="M656" s="27">
        <v>192</v>
      </c>
      <c r="N656" s="30">
        <v>0.57999999999999996</v>
      </c>
      <c r="O656" s="27">
        <v>195</v>
      </c>
      <c r="P656" s="27">
        <v>241</v>
      </c>
      <c r="Q656" s="27">
        <v>8</v>
      </c>
      <c r="R656" s="29" t="s">
        <v>300</v>
      </c>
      <c r="S656" s="29"/>
      <c r="T656" s="28">
        <v>2000</v>
      </c>
      <c r="U656" s="29" t="s">
        <v>52</v>
      </c>
      <c r="V656" s="29" t="s">
        <v>89</v>
      </c>
      <c r="W656" s="27">
        <v>10</v>
      </c>
      <c r="X656" s="37" t="str">
        <f>HYPERLINK("https://www.alpinabook.ru/catalog/book-612054","ссылка на книгу")</f>
        <v>ссылка на книгу</v>
      </c>
      <c r="Y656" s="38" t="str">
        <f>HYPERLINK("https://api-enni.alpina.ru/FilePrivilegesApproval/59","https://api-enni.alpina.ru/FilePrivilegesApproval/59")</f>
        <v>https://api-enni.alpina.ru/FilePrivilegesApproval/59</v>
      </c>
      <c r="Z656" s="29"/>
      <c r="AT656" s="1">
        <f t="shared" si="88"/>
        <v>0</v>
      </c>
      <c r="AU656" s="1">
        <f t="shared" si="89"/>
        <v>0</v>
      </c>
      <c r="AV656" s="1">
        <f t="shared" si="90"/>
        <v>0</v>
      </c>
      <c r="AW656" s="1">
        <f t="shared" si="91"/>
        <v>0</v>
      </c>
      <c r="AX656" s="1">
        <f t="shared" si="92"/>
        <v>0</v>
      </c>
    </row>
    <row r="657" spans="1:50" s="1" customFormat="1" ht="24.95" customHeight="1" outlineLevel="3" x14ac:dyDescent="0.2">
      <c r="A657" s="21"/>
      <c r="B657" s="22">
        <v>440</v>
      </c>
      <c r="C657" s="22">
        <v>690</v>
      </c>
      <c r="D657" s="22">
        <v>32247</v>
      </c>
      <c r="E657" s="23" t="s">
        <v>156</v>
      </c>
      <c r="F657" s="23" t="s">
        <v>157</v>
      </c>
      <c r="G657" s="23" t="s">
        <v>86</v>
      </c>
      <c r="H657" s="23" t="s">
        <v>40</v>
      </c>
      <c r="I657" s="22">
        <v>2025</v>
      </c>
      <c r="J657" s="23" t="s">
        <v>158</v>
      </c>
      <c r="K657" s="22">
        <v>9785002234844</v>
      </c>
      <c r="L657" s="23" t="s">
        <v>159</v>
      </c>
      <c r="M657" s="22">
        <v>576</v>
      </c>
      <c r="N657" s="24">
        <v>0.37</v>
      </c>
      <c r="O657" s="22">
        <v>120</v>
      </c>
      <c r="P657" s="22">
        <v>170</v>
      </c>
      <c r="Q657" s="22">
        <v>20</v>
      </c>
      <c r="R657" s="23" t="s">
        <v>75</v>
      </c>
      <c r="S657" s="23" t="s">
        <v>160</v>
      </c>
      <c r="T657" s="25">
        <v>2000</v>
      </c>
      <c r="U657" s="23" t="s">
        <v>44</v>
      </c>
      <c r="V657" s="23" t="s">
        <v>89</v>
      </c>
      <c r="W657" s="22">
        <v>20</v>
      </c>
      <c r="X657" s="35" t="str">
        <f>HYPERLINK("https://www.alpinabook.ru/catalog/book-personazh","ссылка на книгу")</f>
        <v>ссылка на книгу</v>
      </c>
      <c r="Y657" s="36" t="str">
        <f>HYPERLINK("","")</f>
        <v/>
      </c>
      <c r="Z657" s="23" t="s">
        <v>77</v>
      </c>
      <c r="AT657" s="1">
        <f t="shared" si="88"/>
        <v>0</v>
      </c>
      <c r="AU657" s="1">
        <f t="shared" si="89"/>
        <v>0</v>
      </c>
      <c r="AV657" s="1">
        <f t="shared" si="90"/>
        <v>0</v>
      </c>
      <c r="AW657" s="1">
        <f t="shared" si="91"/>
        <v>0</v>
      </c>
      <c r="AX657" s="1">
        <f t="shared" si="92"/>
        <v>0</v>
      </c>
    </row>
    <row r="658" spans="1:50" s="1" customFormat="1" ht="24.95" customHeight="1" outlineLevel="3" x14ac:dyDescent="0.2">
      <c r="A658" s="21"/>
      <c r="B658" s="22">
        <v>840</v>
      </c>
      <c r="C658" s="25">
        <v>1290</v>
      </c>
      <c r="D658" s="22">
        <v>28037</v>
      </c>
      <c r="E658" s="23" t="s">
        <v>843</v>
      </c>
      <c r="F658" s="23" t="s">
        <v>844</v>
      </c>
      <c r="G658" s="23" t="s">
        <v>56</v>
      </c>
      <c r="H658" s="23"/>
      <c r="I658" s="22">
        <v>2025</v>
      </c>
      <c r="J658" s="23" t="s">
        <v>845</v>
      </c>
      <c r="K658" s="22">
        <v>9785961487145</v>
      </c>
      <c r="L658" s="23" t="s">
        <v>846</v>
      </c>
      <c r="M658" s="22">
        <v>400</v>
      </c>
      <c r="N658" s="24">
        <v>0.56999999999999995</v>
      </c>
      <c r="O658" s="22">
        <v>140</v>
      </c>
      <c r="P658" s="22">
        <v>200</v>
      </c>
      <c r="Q658" s="22">
        <v>6</v>
      </c>
      <c r="R658" s="23" t="s">
        <v>43</v>
      </c>
      <c r="S658" s="23"/>
      <c r="T658" s="25">
        <v>15000</v>
      </c>
      <c r="U658" s="23" t="s">
        <v>44</v>
      </c>
      <c r="V658" s="23" t="s">
        <v>59</v>
      </c>
      <c r="W658" s="22">
        <v>10</v>
      </c>
      <c r="X658" s="35" t="str">
        <f>HYPERLINK("https://www.alpinabook.ru/catalog/book-pishi-sokrashchay-2025","ссылка на книгу")</f>
        <v>ссылка на книгу</v>
      </c>
      <c r="Y658" s="36" t="str">
        <f>HYPERLINK("https://api-enni.alpina.ru/FilePrivilegesApproval/339","https://api-enni.alpina.ru/FilePrivilegesApproval/339")</f>
        <v>https://api-enni.alpina.ru/FilePrivilegesApproval/339</v>
      </c>
      <c r="Z658" s="23" t="s">
        <v>847</v>
      </c>
      <c r="AT658" s="1">
        <f t="shared" si="88"/>
        <v>0</v>
      </c>
      <c r="AU658" s="1">
        <f t="shared" si="89"/>
        <v>0</v>
      </c>
      <c r="AV658" s="1">
        <f t="shared" si="90"/>
        <v>0</v>
      </c>
      <c r="AW658" s="1">
        <f t="shared" si="91"/>
        <v>0</v>
      </c>
      <c r="AX658" s="1">
        <f t="shared" si="92"/>
        <v>0</v>
      </c>
    </row>
    <row r="659" spans="1:50" s="1" customFormat="1" ht="24.95" customHeight="1" outlineLevel="3" x14ac:dyDescent="0.2">
      <c r="A659" s="21"/>
      <c r="B659" s="22">
        <v>340</v>
      </c>
      <c r="C659" s="22">
        <v>640</v>
      </c>
      <c r="D659" s="22">
        <v>12561</v>
      </c>
      <c r="E659" s="23" t="s">
        <v>2113</v>
      </c>
      <c r="F659" s="23" t="s">
        <v>2114</v>
      </c>
      <c r="G659" s="23" t="s">
        <v>86</v>
      </c>
      <c r="H659" s="23" t="s">
        <v>40</v>
      </c>
      <c r="I659" s="22">
        <v>2025</v>
      </c>
      <c r="J659" s="23" t="s">
        <v>2115</v>
      </c>
      <c r="K659" s="22">
        <v>9785001391258</v>
      </c>
      <c r="L659" s="23" t="s">
        <v>2116</v>
      </c>
      <c r="M659" s="22">
        <v>432</v>
      </c>
      <c r="N659" s="24">
        <v>0.33</v>
      </c>
      <c r="O659" s="22">
        <v>120</v>
      </c>
      <c r="P659" s="22">
        <v>170</v>
      </c>
      <c r="Q659" s="22">
        <v>16</v>
      </c>
      <c r="R659" s="23" t="s">
        <v>75</v>
      </c>
      <c r="S659" s="23" t="s">
        <v>160</v>
      </c>
      <c r="T659" s="25">
        <v>2000</v>
      </c>
      <c r="U659" s="23" t="s">
        <v>44</v>
      </c>
      <c r="V659" s="23" t="s">
        <v>59</v>
      </c>
      <c r="W659" s="22">
        <v>10</v>
      </c>
      <c r="X659" s="35" t="str">
        <f>HYPERLINK("https://www.alpinabook.ru/catalog/book-psikhologiya-dlya-stsenaristov","ссылка на книгу")</f>
        <v>ссылка на книгу</v>
      </c>
      <c r="Y659" s="36" t="str">
        <f>HYPERLINK("https://api-enni.alpina.ru/FilePrivilegesApproval/127","https://api-enni.alpina.ru/FilePrivilegesApproval/127")</f>
        <v>https://api-enni.alpina.ru/FilePrivilegesApproval/127</v>
      </c>
      <c r="Z659" s="23" t="s">
        <v>865</v>
      </c>
      <c r="AT659" s="1">
        <f t="shared" si="88"/>
        <v>0</v>
      </c>
      <c r="AU659" s="1">
        <f t="shared" si="89"/>
        <v>0</v>
      </c>
      <c r="AV659" s="1">
        <f t="shared" si="90"/>
        <v>0</v>
      </c>
      <c r="AW659" s="1">
        <f t="shared" si="91"/>
        <v>0</v>
      </c>
      <c r="AX659" s="1">
        <f t="shared" si="92"/>
        <v>0</v>
      </c>
    </row>
    <row r="660" spans="1:50" s="1" customFormat="1" ht="24.95" customHeight="1" outlineLevel="3" x14ac:dyDescent="0.2">
      <c r="A660" s="21"/>
      <c r="B660" s="22">
        <v>540</v>
      </c>
      <c r="C660" s="22">
        <v>740</v>
      </c>
      <c r="D660" s="22">
        <v>12752</v>
      </c>
      <c r="E660" s="23" t="s">
        <v>2117</v>
      </c>
      <c r="F660" s="23" t="s">
        <v>2118</v>
      </c>
      <c r="G660" s="23" t="s">
        <v>86</v>
      </c>
      <c r="H660" s="23" t="s">
        <v>40</v>
      </c>
      <c r="I660" s="22">
        <v>2025</v>
      </c>
      <c r="J660" s="23" t="s">
        <v>2119</v>
      </c>
      <c r="K660" s="22">
        <v>9785001391449</v>
      </c>
      <c r="L660" s="23" t="s">
        <v>2120</v>
      </c>
      <c r="M660" s="22">
        <v>608</v>
      </c>
      <c r="N660" s="24">
        <v>0.38</v>
      </c>
      <c r="O660" s="22">
        <v>115</v>
      </c>
      <c r="P660" s="22">
        <v>165</v>
      </c>
      <c r="Q660" s="22">
        <v>16</v>
      </c>
      <c r="R660" s="23" t="s">
        <v>75</v>
      </c>
      <c r="S660" s="23" t="s">
        <v>160</v>
      </c>
      <c r="T660" s="25">
        <v>2000</v>
      </c>
      <c r="U660" s="23" t="s">
        <v>44</v>
      </c>
      <c r="V660" s="23" t="s">
        <v>59</v>
      </c>
      <c r="W660" s="22">
        <v>10</v>
      </c>
      <c r="X660" s="35" t="str">
        <f>HYPERLINK("https://www.alpinabook.ru/catalog/book-puteshestvie-pisatelya","ссылка на книгу")</f>
        <v>ссылка на книгу</v>
      </c>
      <c r="Y660" s="36" t="str">
        <f>HYPERLINK("https://api-enni.alpina.ru/FilePrivilegesApproval/131","https://api-enni.alpina.ru/FilePrivilegesApproval/131")</f>
        <v>https://api-enni.alpina.ru/FilePrivilegesApproval/131</v>
      </c>
      <c r="Z660" s="23" t="s">
        <v>775</v>
      </c>
      <c r="AT660" s="1">
        <f t="shared" si="88"/>
        <v>0</v>
      </c>
      <c r="AU660" s="1">
        <f t="shared" si="89"/>
        <v>0</v>
      </c>
      <c r="AV660" s="1">
        <f t="shared" si="90"/>
        <v>0</v>
      </c>
      <c r="AW660" s="1">
        <f t="shared" si="91"/>
        <v>0</v>
      </c>
      <c r="AX660" s="1">
        <f t="shared" si="92"/>
        <v>0</v>
      </c>
    </row>
    <row r="661" spans="1:50" s="1" customFormat="1" ht="24.95" customHeight="1" outlineLevel="3" x14ac:dyDescent="0.2">
      <c r="A661" s="21"/>
      <c r="B661" s="22">
        <v>340</v>
      </c>
      <c r="C661" s="22">
        <v>540</v>
      </c>
      <c r="D661" s="22">
        <v>26439</v>
      </c>
      <c r="E661" s="23" t="s">
        <v>2121</v>
      </c>
      <c r="F661" s="23" t="s">
        <v>2122</v>
      </c>
      <c r="G661" s="23" t="s">
        <v>86</v>
      </c>
      <c r="H661" s="23" t="s">
        <v>40</v>
      </c>
      <c r="I661" s="22">
        <v>2025</v>
      </c>
      <c r="J661" s="23" t="s">
        <v>2123</v>
      </c>
      <c r="K661" s="22">
        <v>9785001397694</v>
      </c>
      <c r="L661" s="23" t="s">
        <v>2124</v>
      </c>
      <c r="M661" s="22">
        <v>266</v>
      </c>
      <c r="N661" s="24">
        <v>0.18</v>
      </c>
      <c r="O661" s="22">
        <v>120</v>
      </c>
      <c r="P661" s="22">
        <v>170</v>
      </c>
      <c r="Q661" s="22">
        <v>10</v>
      </c>
      <c r="R661" s="23" t="s">
        <v>75</v>
      </c>
      <c r="S661" s="23" t="s">
        <v>160</v>
      </c>
      <c r="T661" s="25">
        <v>4000</v>
      </c>
      <c r="U661" s="23" t="s">
        <v>44</v>
      </c>
      <c r="V661" s="23" t="s">
        <v>59</v>
      </c>
      <c r="W661" s="22">
        <v>10</v>
      </c>
      <c r="X661" s="35" t="str">
        <f>HYPERLINK("https://www.alpinabook.ru/catalog/book-sozdanie-arki-personazha","ссылка на книгу")</f>
        <v>ссылка на книгу</v>
      </c>
      <c r="Y661" s="36" t="str">
        <f>HYPERLINK("https://api-enni.alpina.ru/FilePrivilegesApproval/150","https://api-enni.alpina.ru/FilePrivilegesApproval/150")</f>
        <v>https://api-enni.alpina.ru/FilePrivilegesApproval/150</v>
      </c>
      <c r="Z661" s="23" t="s">
        <v>1640</v>
      </c>
      <c r="AT661" s="1">
        <f t="shared" si="88"/>
        <v>0</v>
      </c>
      <c r="AU661" s="1">
        <f t="shared" si="89"/>
        <v>0</v>
      </c>
      <c r="AV661" s="1">
        <f t="shared" si="90"/>
        <v>0</v>
      </c>
      <c r="AW661" s="1">
        <f t="shared" si="91"/>
        <v>0</v>
      </c>
      <c r="AX661" s="1">
        <f t="shared" si="92"/>
        <v>0</v>
      </c>
    </row>
    <row r="662" spans="1:50" s="1" customFormat="1" ht="24.95" customHeight="1" outlineLevel="3" x14ac:dyDescent="0.2">
      <c r="A662" s="21"/>
      <c r="B662" s="25">
        <v>1790</v>
      </c>
      <c r="C662" s="25">
        <v>1790</v>
      </c>
      <c r="D662" s="22">
        <v>12248</v>
      </c>
      <c r="E662" s="23" t="s">
        <v>2125</v>
      </c>
      <c r="F662" s="23" t="s">
        <v>2126</v>
      </c>
      <c r="G662" s="23" t="s">
        <v>86</v>
      </c>
      <c r="H662" s="23"/>
      <c r="I662" s="22">
        <v>2023</v>
      </c>
      <c r="J662" s="23" t="s">
        <v>2127</v>
      </c>
      <c r="K662" s="22">
        <v>9785916719918</v>
      </c>
      <c r="L662" s="23" t="s">
        <v>2128</v>
      </c>
      <c r="M662" s="22">
        <v>359</v>
      </c>
      <c r="N662" s="24">
        <v>0.77</v>
      </c>
      <c r="O662" s="22">
        <v>168</v>
      </c>
      <c r="P662" s="22">
        <v>221</v>
      </c>
      <c r="Q662" s="22">
        <v>5</v>
      </c>
      <c r="R662" s="23" t="s">
        <v>100</v>
      </c>
      <c r="S662" s="23"/>
      <c r="T662" s="25">
        <v>1000</v>
      </c>
      <c r="U662" s="23" t="s">
        <v>52</v>
      </c>
      <c r="V662" s="23" t="s">
        <v>89</v>
      </c>
      <c r="W662" s="22">
        <v>10</v>
      </c>
      <c r="X662" s="35" t="str">
        <f>HYPERLINK("https://www.alpinabook.ru/catalog/book-stsenarii-kinofilmov-andreya-zvyagintseva","ссылка на книгу")</f>
        <v>ссылка на книгу</v>
      </c>
      <c r="Y662" s="36" t="str">
        <f>HYPERLINK("https://api-enni.alpina.ru/FilePrivilegesApproval/270","https://api-enni.alpina.ru/FilePrivilegesApproval/270")</f>
        <v>https://api-enni.alpina.ru/FilePrivilegesApproval/270</v>
      </c>
      <c r="Z662" s="23"/>
      <c r="AT662" s="1">
        <f t="shared" si="88"/>
        <v>0</v>
      </c>
      <c r="AU662" s="1">
        <f t="shared" si="89"/>
        <v>0</v>
      </c>
      <c r="AV662" s="1">
        <f t="shared" si="90"/>
        <v>0</v>
      </c>
      <c r="AW662" s="1">
        <f t="shared" si="91"/>
        <v>0</v>
      </c>
      <c r="AX662" s="1">
        <f t="shared" si="92"/>
        <v>0</v>
      </c>
    </row>
    <row r="663" spans="1:50" s="1" customFormat="1" ht="24.95" customHeight="1" outlineLevel="3" x14ac:dyDescent="0.2">
      <c r="A663" s="21"/>
      <c r="B663" s="25">
        <v>1040</v>
      </c>
      <c r="C663" s="25">
        <v>1690</v>
      </c>
      <c r="D663" s="22">
        <v>18193</v>
      </c>
      <c r="E663" s="23" t="s">
        <v>2129</v>
      </c>
      <c r="F663" s="23" t="s">
        <v>2130</v>
      </c>
      <c r="G663" s="23" t="s">
        <v>86</v>
      </c>
      <c r="H663" s="23" t="s">
        <v>40</v>
      </c>
      <c r="I663" s="22">
        <v>2025</v>
      </c>
      <c r="J663" s="23" t="s">
        <v>2131</v>
      </c>
      <c r="K663" s="22">
        <v>9785001393276</v>
      </c>
      <c r="L663" s="23" t="s">
        <v>2132</v>
      </c>
      <c r="M663" s="22">
        <v>542</v>
      </c>
      <c r="N663" s="24">
        <v>0.77</v>
      </c>
      <c r="O663" s="22">
        <v>150</v>
      </c>
      <c r="P663" s="22">
        <v>220</v>
      </c>
      <c r="Q663" s="22">
        <v>8</v>
      </c>
      <c r="R663" s="23" t="s">
        <v>43</v>
      </c>
      <c r="S663" s="23"/>
      <c r="T663" s="25">
        <v>4000</v>
      </c>
      <c r="U663" s="23" t="s">
        <v>52</v>
      </c>
      <c r="V663" s="23" t="s">
        <v>59</v>
      </c>
      <c r="W663" s="22">
        <v>10</v>
      </c>
      <c r="X663" s="35" t="str">
        <f>HYPERLINK("https://www.alpinabook.ru/catalog/book-tezaurus-emotsiy","ссылка на книгу")</f>
        <v>ссылка на книгу</v>
      </c>
      <c r="Y663" s="36" t="str">
        <f>HYPERLINK("https://api-enni.alpina.ru/FilePrivilegesApproval/149","https://api-enni.alpina.ru/FilePrivilegesApproval/149")</f>
        <v>https://api-enni.alpina.ru/FilePrivilegesApproval/149</v>
      </c>
      <c r="Z663" s="23" t="s">
        <v>865</v>
      </c>
      <c r="AT663" s="1">
        <f t="shared" si="88"/>
        <v>0</v>
      </c>
      <c r="AU663" s="1">
        <f t="shared" si="89"/>
        <v>0</v>
      </c>
      <c r="AV663" s="1">
        <f t="shared" si="90"/>
        <v>0</v>
      </c>
      <c r="AW663" s="1">
        <f t="shared" si="91"/>
        <v>0</v>
      </c>
      <c r="AX663" s="1">
        <f t="shared" si="92"/>
        <v>0</v>
      </c>
    </row>
    <row r="664" spans="1:50" s="1" customFormat="1" ht="24.95" customHeight="1" outlineLevel="3" x14ac:dyDescent="0.2">
      <c r="A664" s="21"/>
      <c r="B664" s="22">
        <v>890</v>
      </c>
      <c r="C664" s="25">
        <v>1290</v>
      </c>
      <c r="D664" s="22">
        <v>18519</v>
      </c>
      <c r="E664" s="23" t="s">
        <v>838</v>
      </c>
      <c r="F664" s="23" t="s">
        <v>839</v>
      </c>
      <c r="G664" s="23" t="s">
        <v>56</v>
      </c>
      <c r="H664" s="23"/>
      <c r="I664" s="22">
        <v>2025</v>
      </c>
      <c r="J664" s="23" t="s">
        <v>840</v>
      </c>
      <c r="K664" s="22">
        <v>9785961435825</v>
      </c>
      <c r="L664" s="23" t="s">
        <v>841</v>
      </c>
      <c r="M664" s="22">
        <v>448</v>
      </c>
      <c r="N664" s="24">
        <v>0.63</v>
      </c>
      <c r="O664" s="22">
        <v>140</v>
      </c>
      <c r="P664" s="22">
        <v>200</v>
      </c>
      <c r="Q664" s="22">
        <v>6</v>
      </c>
      <c r="R664" s="23" t="s">
        <v>43</v>
      </c>
      <c r="S664" s="23"/>
      <c r="T664" s="25">
        <v>10000</v>
      </c>
      <c r="U664" s="23" t="s">
        <v>44</v>
      </c>
      <c r="V664" s="23" t="s">
        <v>59</v>
      </c>
      <c r="W664" s="22">
        <v>10</v>
      </c>
      <c r="X664" s="35" t="str">
        <f>HYPERLINK("https://www.alpinabook.ru/catalog/book-yasno-ponyatno","ссылка на книгу")</f>
        <v>ссылка на книгу</v>
      </c>
      <c r="Y664" s="36" t="str">
        <f>HYPERLINK("https://api-enni.alpina.ru/FilePrivilegesApproval/109","https://api-enni.alpina.ru/FilePrivilegesApproval/109")</f>
        <v>https://api-enni.alpina.ru/FilePrivilegesApproval/109</v>
      </c>
      <c r="Z664" s="23" t="s">
        <v>545</v>
      </c>
      <c r="AT664" s="1">
        <f t="shared" si="88"/>
        <v>0</v>
      </c>
      <c r="AU664" s="1">
        <f t="shared" si="89"/>
        <v>0</v>
      </c>
      <c r="AV664" s="1">
        <f t="shared" si="90"/>
        <v>0</v>
      </c>
      <c r="AW664" s="1">
        <f t="shared" si="91"/>
        <v>0</v>
      </c>
      <c r="AX664" s="1">
        <f t="shared" si="92"/>
        <v>0</v>
      </c>
    </row>
    <row r="665" spans="1:50" ht="11.1" customHeight="1" outlineLevel="2" x14ac:dyDescent="0.2">
      <c r="A665" s="40" t="s">
        <v>2133</v>
      </c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20"/>
    </row>
    <row r="666" spans="1:50" s="1" customFormat="1" ht="24.95" customHeight="1" outlineLevel="3" x14ac:dyDescent="0.2">
      <c r="A666" s="11"/>
      <c r="B666" s="12">
        <v>490</v>
      </c>
      <c r="C666" s="12">
        <v>740</v>
      </c>
      <c r="D666" s="12">
        <v>5870</v>
      </c>
      <c r="E666" s="13" t="s">
        <v>2134</v>
      </c>
      <c r="F666" s="13" t="s">
        <v>2135</v>
      </c>
      <c r="G666" s="13" t="s">
        <v>56</v>
      </c>
      <c r="H666" s="13" t="s">
        <v>40</v>
      </c>
      <c r="I666" s="12">
        <v>2025</v>
      </c>
      <c r="J666" s="13" t="s">
        <v>2136</v>
      </c>
      <c r="K666" s="12">
        <v>9785961462401</v>
      </c>
      <c r="L666" s="13" t="s">
        <v>2137</v>
      </c>
      <c r="M666" s="12">
        <v>176</v>
      </c>
      <c r="N666" s="14">
        <v>0.27</v>
      </c>
      <c r="O666" s="12">
        <v>163</v>
      </c>
      <c r="P666" s="12">
        <v>215</v>
      </c>
      <c r="Q666" s="12">
        <v>14</v>
      </c>
      <c r="R666" s="13" t="s">
        <v>100</v>
      </c>
      <c r="S666" s="13"/>
      <c r="T666" s="15">
        <v>1500</v>
      </c>
      <c r="U666" s="13" t="s">
        <v>44</v>
      </c>
      <c r="V666" s="13" t="s">
        <v>64</v>
      </c>
      <c r="W666" s="12">
        <v>10</v>
      </c>
      <c r="X666" s="33" t="str">
        <f>HYPERLINK("https://www.alpinabook.ru/catalog/book-vyazanie-bez-slez","ссылка на книгу")</f>
        <v>ссылка на книгу</v>
      </c>
      <c r="Y666" s="34" t="str">
        <f>HYPERLINK("https://api-enni.alpina.ru/FilePrivilegesApproval/2","https://api-enni.alpina.ru/FilePrivilegesApproval/2")</f>
        <v>https://api-enni.alpina.ru/FilePrivilegesApproval/2</v>
      </c>
      <c r="Z666" s="13" t="s">
        <v>2138</v>
      </c>
      <c r="AT666" s="1">
        <f t="shared" ref="AT666:AT674" si="93">IF($A666&lt;&gt;0,1,0)</f>
        <v>0</v>
      </c>
      <c r="AU666" s="1">
        <f t="shared" ref="AU666:AU674" si="94">$A666*$B666</f>
        <v>0</v>
      </c>
      <c r="AV666" s="1">
        <f t="shared" ref="AV666:AV674" si="95">$A666*$N666</f>
        <v>0</v>
      </c>
      <c r="AW666" s="1">
        <f t="shared" ref="AW666:AW674" si="96">IF($Q666=0,0,INT($A666/$Q666))</f>
        <v>0</v>
      </c>
      <c r="AX666" s="1">
        <f t="shared" ref="AX666:AX674" si="97">$A666-$AW666*$Q666</f>
        <v>0</v>
      </c>
    </row>
    <row r="667" spans="1:50" s="1" customFormat="1" ht="24.95" customHeight="1" outlineLevel="3" x14ac:dyDescent="0.2">
      <c r="A667" s="11"/>
      <c r="B667" s="12">
        <v>590</v>
      </c>
      <c r="C667" s="12">
        <v>840</v>
      </c>
      <c r="D667" s="12">
        <v>21010</v>
      </c>
      <c r="E667" s="13" t="s">
        <v>2139</v>
      </c>
      <c r="F667" s="13" t="s">
        <v>2140</v>
      </c>
      <c r="G667" s="13" t="s">
        <v>56</v>
      </c>
      <c r="H667" s="13" t="s">
        <v>40</v>
      </c>
      <c r="I667" s="12">
        <v>2025</v>
      </c>
      <c r="J667" s="13" t="s">
        <v>2141</v>
      </c>
      <c r="K667" s="12">
        <v>9785961475135</v>
      </c>
      <c r="L667" s="13" t="s">
        <v>2142</v>
      </c>
      <c r="M667" s="12">
        <v>192</v>
      </c>
      <c r="N667" s="14">
        <v>0.24</v>
      </c>
      <c r="O667" s="12">
        <v>150</v>
      </c>
      <c r="P667" s="12">
        <v>210</v>
      </c>
      <c r="Q667" s="12">
        <v>20</v>
      </c>
      <c r="R667" s="13" t="s">
        <v>43</v>
      </c>
      <c r="S667" s="13"/>
      <c r="T667" s="15">
        <v>3000</v>
      </c>
      <c r="U667" s="13" t="s">
        <v>44</v>
      </c>
      <c r="V667" s="13" t="s">
        <v>64</v>
      </c>
      <c r="W667" s="12">
        <v>10</v>
      </c>
      <c r="X667" s="33" t="str">
        <f>HYPERLINK("https://www.alpinabook.ru/catalog/book-dizayn-vsego","ссылка на книгу")</f>
        <v>ссылка на книгу</v>
      </c>
      <c r="Y667" s="34" t="str">
        <f>HYPERLINK("https://api-enni.alpina.ru/FilePrivilegesApproval/140","https://api-enni.alpina.ru/FilePrivilegesApproval/140")</f>
        <v>https://api-enni.alpina.ru/FilePrivilegesApproval/140</v>
      </c>
      <c r="Z667" s="13" t="s">
        <v>321</v>
      </c>
      <c r="AT667" s="1">
        <f t="shared" si="93"/>
        <v>0</v>
      </c>
      <c r="AU667" s="1">
        <f t="shared" si="94"/>
        <v>0</v>
      </c>
      <c r="AV667" s="1">
        <f t="shared" si="95"/>
        <v>0</v>
      </c>
      <c r="AW667" s="1">
        <f t="shared" si="96"/>
        <v>0</v>
      </c>
      <c r="AX667" s="1">
        <f t="shared" si="97"/>
        <v>0</v>
      </c>
    </row>
    <row r="668" spans="1:50" s="1" customFormat="1" ht="24.95" customHeight="1" outlineLevel="3" x14ac:dyDescent="0.2">
      <c r="A668" s="11"/>
      <c r="B668" s="12">
        <v>490</v>
      </c>
      <c r="C668" s="12">
        <v>490</v>
      </c>
      <c r="D668" s="12">
        <v>24640</v>
      </c>
      <c r="E668" s="13" t="s">
        <v>2143</v>
      </c>
      <c r="F668" s="13" t="s">
        <v>2144</v>
      </c>
      <c r="G668" s="13" t="s">
        <v>97</v>
      </c>
      <c r="H668" s="13"/>
      <c r="I668" s="12">
        <v>2022</v>
      </c>
      <c r="J668" s="13" t="s">
        <v>2145</v>
      </c>
      <c r="K668" s="12">
        <v>9785907470989</v>
      </c>
      <c r="L668" s="13" t="s">
        <v>2146</v>
      </c>
      <c r="M668" s="12">
        <v>80</v>
      </c>
      <c r="N668" s="14">
        <v>0.28999999999999998</v>
      </c>
      <c r="O668" s="12">
        <v>168</v>
      </c>
      <c r="P668" s="12">
        <v>241</v>
      </c>
      <c r="Q668" s="12">
        <v>12</v>
      </c>
      <c r="R668" s="13" t="s">
        <v>94</v>
      </c>
      <c r="S668" s="13"/>
      <c r="T668" s="15">
        <v>1000</v>
      </c>
      <c r="U668" s="13" t="s">
        <v>52</v>
      </c>
      <c r="V668" s="13" t="s">
        <v>59</v>
      </c>
      <c r="W668" s="12">
        <v>10</v>
      </c>
      <c r="X668" s="33" t="str">
        <f>HYPERLINK("https://www.alpinabook.ru/catalog/book-28-petel","ссылка на книгу")</f>
        <v>ссылка на книгу</v>
      </c>
      <c r="Y668" s="34" t="str">
        <f>HYPERLINK("https://api-enni.alpina.ru/FilePrivilegesApproval/282","https://api-enni.alpina.ru/FilePrivilegesApproval/282")</f>
        <v>https://api-enni.alpina.ru/FilePrivilegesApproval/282</v>
      </c>
      <c r="Z668" s="13"/>
      <c r="AT668" s="1">
        <f t="shared" si="93"/>
        <v>0</v>
      </c>
      <c r="AU668" s="1">
        <f t="shared" si="94"/>
        <v>0</v>
      </c>
      <c r="AV668" s="1">
        <f t="shared" si="95"/>
        <v>0</v>
      </c>
      <c r="AW668" s="1">
        <f t="shared" si="96"/>
        <v>0</v>
      </c>
      <c r="AX668" s="1">
        <f t="shared" si="97"/>
        <v>0</v>
      </c>
    </row>
    <row r="669" spans="1:50" s="1" customFormat="1" ht="24.95" customHeight="1" outlineLevel="3" x14ac:dyDescent="0.2">
      <c r="A669" s="11"/>
      <c r="B669" s="12">
        <v>290</v>
      </c>
      <c r="C669" s="12">
        <v>440</v>
      </c>
      <c r="D669" s="12">
        <v>27597</v>
      </c>
      <c r="E669" s="13" t="s">
        <v>848</v>
      </c>
      <c r="F669" s="13" t="s">
        <v>849</v>
      </c>
      <c r="G669" s="13" t="s">
        <v>56</v>
      </c>
      <c r="H669" s="13" t="s">
        <v>850</v>
      </c>
      <c r="I669" s="12">
        <v>2025</v>
      </c>
      <c r="J669" s="13" t="s">
        <v>851</v>
      </c>
      <c r="K669" s="12">
        <v>9785961485813</v>
      </c>
      <c r="L669" s="13" t="s">
        <v>852</v>
      </c>
      <c r="M669" s="12">
        <v>316</v>
      </c>
      <c r="N669" s="14">
        <v>0.21</v>
      </c>
      <c r="O669" s="12">
        <v>120</v>
      </c>
      <c r="P669" s="12">
        <v>170</v>
      </c>
      <c r="Q669" s="12">
        <v>10</v>
      </c>
      <c r="R669" s="13" t="s">
        <v>75</v>
      </c>
      <c r="S669" s="13" t="s">
        <v>596</v>
      </c>
      <c r="T669" s="15">
        <v>8000</v>
      </c>
      <c r="U669" s="13" t="s">
        <v>44</v>
      </c>
      <c r="V669" s="13" t="s">
        <v>64</v>
      </c>
      <c r="W669" s="12">
        <v>10</v>
      </c>
      <c r="X669" s="33" t="str">
        <f>HYPERLINK("https://www.alpinabook.ru/catalog/book-muzyka-i-mozg","ссылка на книгу")</f>
        <v>ссылка на книгу</v>
      </c>
      <c r="Y669" s="34" t="str">
        <f>HYPERLINK("https://api-enni.alpina.ru/FilePrivilegesApproval/205","https://api-enni.alpina.ru/FilePrivilegesApproval/205")</f>
        <v>https://api-enni.alpina.ru/FilePrivilegesApproval/205</v>
      </c>
      <c r="Z669" s="13" t="s">
        <v>431</v>
      </c>
      <c r="AT669" s="1">
        <f t="shared" si="93"/>
        <v>0</v>
      </c>
      <c r="AU669" s="1">
        <f t="shared" si="94"/>
        <v>0</v>
      </c>
      <c r="AV669" s="1">
        <f t="shared" si="95"/>
        <v>0</v>
      </c>
      <c r="AW669" s="1">
        <f t="shared" si="96"/>
        <v>0</v>
      </c>
      <c r="AX669" s="1">
        <f t="shared" si="97"/>
        <v>0</v>
      </c>
    </row>
    <row r="670" spans="1:50" s="1" customFormat="1" ht="24.95" customHeight="1" outlineLevel="3" x14ac:dyDescent="0.2">
      <c r="A670" s="11"/>
      <c r="B670" s="12">
        <v>690</v>
      </c>
      <c r="C670" s="12">
        <v>990</v>
      </c>
      <c r="D670" s="12">
        <v>25112</v>
      </c>
      <c r="E670" s="13" t="s">
        <v>2147</v>
      </c>
      <c r="F670" s="13" t="s">
        <v>2148</v>
      </c>
      <c r="G670" s="13" t="s">
        <v>56</v>
      </c>
      <c r="H670" s="13"/>
      <c r="I670" s="12">
        <v>2025</v>
      </c>
      <c r="J670" s="13" t="s">
        <v>2149</v>
      </c>
      <c r="K670" s="12">
        <v>9785961477047</v>
      </c>
      <c r="L670" s="13" t="s">
        <v>2150</v>
      </c>
      <c r="M670" s="12">
        <v>408</v>
      </c>
      <c r="N670" s="14">
        <v>0.56999999999999995</v>
      </c>
      <c r="O670" s="12">
        <v>150</v>
      </c>
      <c r="P670" s="12">
        <v>220</v>
      </c>
      <c r="Q670" s="12">
        <v>10</v>
      </c>
      <c r="R670" s="13" t="s">
        <v>43</v>
      </c>
      <c r="S670" s="13"/>
      <c r="T670" s="15">
        <v>4000</v>
      </c>
      <c r="U670" s="13" t="s">
        <v>52</v>
      </c>
      <c r="V670" s="13" t="s">
        <v>64</v>
      </c>
      <c r="W670" s="12">
        <v>10</v>
      </c>
      <c r="X670" s="33" t="str">
        <f>HYPERLINK("https://www.alpinabook.ru/catalog/book-nayti-ideyu","ссылка на книгу")</f>
        <v>ссылка на книгу</v>
      </c>
      <c r="Y670" s="34" t="str">
        <f>HYPERLINK("https://api-enni.alpina.ru/FilePrivilegesApproval/157","https://api-enni.alpina.ru/FilePrivilegesApproval/157")</f>
        <v>https://api-enni.alpina.ru/FilePrivilegesApproval/157</v>
      </c>
      <c r="Z670" s="13"/>
      <c r="AT670" s="1">
        <f t="shared" si="93"/>
        <v>0</v>
      </c>
      <c r="AU670" s="1">
        <f t="shared" si="94"/>
        <v>0</v>
      </c>
      <c r="AV670" s="1">
        <f t="shared" si="95"/>
        <v>0</v>
      </c>
      <c r="AW670" s="1">
        <f t="shared" si="96"/>
        <v>0</v>
      </c>
      <c r="AX670" s="1">
        <f t="shared" si="97"/>
        <v>0</v>
      </c>
    </row>
    <row r="671" spans="1:50" s="1" customFormat="1" ht="24.95" customHeight="1" outlineLevel="3" x14ac:dyDescent="0.2">
      <c r="A671" s="11"/>
      <c r="B671" s="12">
        <v>740</v>
      </c>
      <c r="C671" s="15">
        <v>1090</v>
      </c>
      <c r="D671" s="12">
        <v>31179</v>
      </c>
      <c r="E671" s="13" t="s">
        <v>2151</v>
      </c>
      <c r="F671" s="13" t="s">
        <v>2152</v>
      </c>
      <c r="G671" s="13" t="s">
        <v>49</v>
      </c>
      <c r="H671" s="13"/>
      <c r="I671" s="12">
        <v>2024</v>
      </c>
      <c r="J671" s="13" t="s">
        <v>2153</v>
      </c>
      <c r="K671" s="12">
        <v>9786010961067</v>
      </c>
      <c r="L671" s="13" t="s">
        <v>2154</v>
      </c>
      <c r="M671" s="12">
        <v>288</v>
      </c>
      <c r="N671" s="14">
        <v>0.59</v>
      </c>
      <c r="O671" s="12">
        <v>170</v>
      </c>
      <c r="P671" s="12">
        <v>240</v>
      </c>
      <c r="Q671" s="12">
        <v>5</v>
      </c>
      <c r="R671" s="13" t="s">
        <v>94</v>
      </c>
      <c r="S671" s="13"/>
      <c r="T671" s="15">
        <v>2000</v>
      </c>
      <c r="U671" s="13" t="s">
        <v>44</v>
      </c>
      <c r="V671" s="13" t="s">
        <v>45</v>
      </c>
      <c r="W671" s="12">
        <v>20</v>
      </c>
      <c r="X671" s="33" t="str">
        <f>HYPERLINK("https://www.alpinabook.ru/catalog/book-nauchis-uzhe-delat-kartinki","ссылка на книгу")</f>
        <v>ссылка на книгу</v>
      </c>
      <c r="Y671" s="34" t="str">
        <f>HYPERLINK("","")</f>
        <v/>
      </c>
      <c r="Z671" s="13"/>
      <c r="AT671" s="1">
        <f t="shared" si="93"/>
        <v>0</v>
      </c>
      <c r="AU671" s="1">
        <f t="shared" si="94"/>
        <v>0</v>
      </c>
      <c r="AV671" s="1">
        <f t="shared" si="95"/>
        <v>0</v>
      </c>
      <c r="AW671" s="1">
        <f t="shared" si="96"/>
        <v>0</v>
      </c>
      <c r="AX671" s="1">
        <f t="shared" si="97"/>
        <v>0</v>
      </c>
    </row>
    <row r="672" spans="1:50" s="1" customFormat="1" ht="24.95" customHeight="1" outlineLevel="3" x14ac:dyDescent="0.2">
      <c r="A672" s="11"/>
      <c r="B672" s="12">
        <v>730</v>
      </c>
      <c r="C672" s="15">
        <v>1090</v>
      </c>
      <c r="D672" s="12">
        <v>9103</v>
      </c>
      <c r="E672" s="13" t="s">
        <v>843</v>
      </c>
      <c r="F672" s="13" t="s">
        <v>2155</v>
      </c>
      <c r="G672" s="13" t="s">
        <v>56</v>
      </c>
      <c r="H672" s="13"/>
      <c r="I672" s="12">
        <v>2025</v>
      </c>
      <c r="J672" s="13" t="s">
        <v>2156</v>
      </c>
      <c r="K672" s="12">
        <v>9785961410341</v>
      </c>
      <c r="L672" s="13" t="s">
        <v>2157</v>
      </c>
      <c r="M672" s="12">
        <v>240</v>
      </c>
      <c r="N672" s="14">
        <v>0.46</v>
      </c>
      <c r="O672" s="12">
        <v>140</v>
      </c>
      <c r="P672" s="12">
        <v>200</v>
      </c>
      <c r="Q672" s="12">
        <v>10</v>
      </c>
      <c r="R672" s="13" t="s">
        <v>43</v>
      </c>
      <c r="S672" s="13"/>
      <c r="T672" s="15">
        <v>3000</v>
      </c>
      <c r="U672" s="13" t="s">
        <v>52</v>
      </c>
      <c r="V672" s="13" t="s">
        <v>45</v>
      </c>
      <c r="W672" s="12">
        <v>10</v>
      </c>
      <c r="X672" s="33" t="str">
        <f>HYPERLINK("https://www.alpinabook.ru/catalog/book-novye-pravila-delovoy-perepiski","ссылка на книгу")</f>
        <v>ссылка на книгу</v>
      </c>
      <c r="Y672" s="34" t="str">
        <f>HYPERLINK("https://api-enni.alpina.ru/FilePrivilegesApproval/153","https://api-enni.alpina.ru/FilePrivilegesApproval/153")</f>
        <v>https://api-enni.alpina.ru/FilePrivilegesApproval/153</v>
      </c>
      <c r="Z672" s="13"/>
      <c r="AT672" s="1">
        <f t="shared" si="93"/>
        <v>0</v>
      </c>
      <c r="AU672" s="1">
        <f t="shared" si="94"/>
        <v>0</v>
      </c>
      <c r="AV672" s="1">
        <f t="shared" si="95"/>
        <v>0</v>
      </c>
      <c r="AW672" s="1">
        <f t="shared" si="96"/>
        <v>0</v>
      </c>
      <c r="AX672" s="1">
        <f t="shared" si="97"/>
        <v>0</v>
      </c>
    </row>
    <row r="673" spans="1:50" s="1" customFormat="1" ht="24.95" customHeight="1" outlineLevel="3" x14ac:dyDescent="0.2">
      <c r="A673" s="11"/>
      <c r="B673" s="12">
        <v>590</v>
      </c>
      <c r="C673" s="12">
        <v>590</v>
      </c>
      <c r="D673" s="12">
        <v>18100</v>
      </c>
      <c r="E673" s="13" t="s">
        <v>2158</v>
      </c>
      <c r="F673" s="13" t="s">
        <v>2159</v>
      </c>
      <c r="G673" s="13" t="s">
        <v>56</v>
      </c>
      <c r="H673" s="13"/>
      <c r="I673" s="12">
        <v>2021</v>
      </c>
      <c r="J673" s="13" t="s">
        <v>2160</v>
      </c>
      <c r="K673" s="12">
        <v>9785961441031</v>
      </c>
      <c r="L673" s="13" t="s">
        <v>2161</v>
      </c>
      <c r="M673" s="12">
        <v>240</v>
      </c>
      <c r="N673" s="14">
        <v>0.31</v>
      </c>
      <c r="O673" s="12">
        <v>146</v>
      </c>
      <c r="P673" s="12">
        <v>216</v>
      </c>
      <c r="Q673" s="12">
        <v>14</v>
      </c>
      <c r="R673" s="13" t="s">
        <v>43</v>
      </c>
      <c r="S673" s="13"/>
      <c r="T673" s="15">
        <v>1500</v>
      </c>
      <c r="U673" s="13" t="s">
        <v>52</v>
      </c>
      <c r="V673" s="13" t="s">
        <v>45</v>
      </c>
      <c r="W673" s="12">
        <v>10</v>
      </c>
      <c r="X673" s="33" t="str">
        <f>HYPERLINK("https://www.alpinabook.ru/catalog/book-673236","ссылка на книгу")</f>
        <v>ссылка на книгу</v>
      </c>
      <c r="Y673" s="34" t="str">
        <f>HYPERLINK("https://api-enni.alpina.ru/FilePrivilegesApproval/100","https://api-enni.alpina.ru/FilePrivilegesApproval/100")</f>
        <v>https://api-enni.alpina.ru/FilePrivilegesApproval/100</v>
      </c>
      <c r="Z673" s="13"/>
      <c r="AT673" s="1">
        <f t="shared" si="93"/>
        <v>0</v>
      </c>
      <c r="AU673" s="1">
        <f t="shared" si="94"/>
        <v>0</v>
      </c>
      <c r="AV673" s="1">
        <f t="shared" si="95"/>
        <v>0</v>
      </c>
      <c r="AW673" s="1">
        <f t="shared" si="96"/>
        <v>0</v>
      </c>
      <c r="AX673" s="1">
        <f t="shared" si="97"/>
        <v>0</v>
      </c>
    </row>
    <row r="674" spans="1:50" s="1" customFormat="1" ht="24.95" customHeight="1" outlineLevel="3" x14ac:dyDescent="0.2">
      <c r="A674" s="26"/>
      <c r="B674" s="27">
        <v>740</v>
      </c>
      <c r="C674" s="27">
        <v>740</v>
      </c>
      <c r="D674" s="27">
        <v>11861</v>
      </c>
      <c r="E674" s="29" t="s">
        <v>2162</v>
      </c>
      <c r="F674" s="29" t="s">
        <v>2163</v>
      </c>
      <c r="G674" s="29" t="s">
        <v>86</v>
      </c>
      <c r="H674" s="29" t="s">
        <v>40</v>
      </c>
      <c r="I674" s="27">
        <v>2019</v>
      </c>
      <c r="J674" s="29" t="s">
        <v>2164</v>
      </c>
      <c r="K674" s="27">
        <v>9785001391197</v>
      </c>
      <c r="L674" s="29" t="s">
        <v>2165</v>
      </c>
      <c r="M674" s="27">
        <v>88</v>
      </c>
      <c r="N674" s="30">
        <v>0.6</v>
      </c>
      <c r="O674" s="27">
        <v>206</v>
      </c>
      <c r="P674" s="27">
        <v>255</v>
      </c>
      <c r="Q674" s="27">
        <v>10</v>
      </c>
      <c r="R674" s="29" t="s">
        <v>300</v>
      </c>
      <c r="S674" s="29"/>
      <c r="T674" s="28">
        <v>3000</v>
      </c>
      <c r="U674" s="29" t="s">
        <v>52</v>
      </c>
      <c r="V674" s="29" t="s">
        <v>64</v>
      </c>
      <c r="W674" s="27">
        <v>10</v>
      </c>
      <c r="X674" s="37" t="str">
        <f>HYPERLINK("https://www.alpinabook.ru/catalog/book-554389","ссылка на книгу")</f>
        <v>ссылка на книгу</v>
      </c>
      <c r="Y674" s="38" t="str">
        <f>HYPERLINK("https://api-enni.alpina.ru/FilePrivilegesApproval/272","https://api-enni.alpina.ru/FilePrivilegesApproval/272")</f>
        <v>https://api-enni.alpina.ru/FilePrivilegesApproval/272</v>
      </c>
      <c r="Z674" s="29"/>
      <c r="AT674" s="1">
        <f t="shared" si="93"/>
        <v>0</v>
      </c>
      <c r="AU674" s="1">
        <f t="shared" si="94"/>
        <v>0</v>
      </c>
      <c r="AV674" s="1">
        <f t="shared" si="95"/>
        <v>0</v>
      </c>
      <c r="AW674" s="1">
        <f t="shared" si="96"/>
        <v>0</v>
      </c>
      <c r="AX674" s="1">
        <f t="shared" si="97"/>
        <v>0</v>
      </c>
    </row>
    <row r="675" spans="1:50" ht="11.1" customHeight="1" outlineLevel="2" x14ac:dyDescent="0.2">
      <c r="A675" s="40" t="s">
        <v>2166</v>
      </c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20"/>
    </row>
    <row r="676" spans="1:50" s="1" customFormat="1" ht="24.95" customHeight="1" outlineLevel="3" x14ac:dyDescent="0.2">
      <c r="A676" s="11"/>
      <c r="B676" s="12">
        <v>790</v>
      </c>
      <c r="C676" s="15">
        <v>1190</v>
      </c>
      <c r="D676" s="12">
        <v>28512</v>
      </c>
      <c r="E676" s="13" t="s">
        <v>240</v>
      </c>
      <c r="F676" s="13" t="s">
        <v>241</v>
      </c>
      <c r="G676" s="13" t="s">
        <v>56</v>
      </c>
      <c r="H676" s="13"/>
      <c r="I676" s="12">
        <v>2025</v>
      </c>
      <c r="J676" s="13" t="s">
        <v>242</v>
      </c>
      <c r="K676" s="12">
        <v>9785961489200</v>
      </c>
      <c r="L676" s="13" t="s">
        <v>243</v>
      </c>
      <c r="M676" s="12">
        <v>296</v>
      </c>
      <c r="N676" s="14">
        <v>0.55000000000000004</v>
      </c>
      <c r="O676" s="12">
        <v>170</v>
      </c>
      <c r="P676" s="12">
        <v>220</v>
      </c>
      <c r="Q676" s="12">
        <v>6</v>
      </c>
      <c r="R676" s="13" t="s">
        <v>100</v>
      </c>
      <c r="S676" s="13"/>
      <c r="T676" s="15">
        <v>2000</v>
      </c>
      <c r="U676" s="13" t="s">
        <v>44</v>
      </c>
      <c r="V676" s="13" t="s">
        <v>89</v>
      </c>
      <c r="W676" s="12">
        <v>10</v>
      </c>
      <c r="X676" s="33" t="str">
        <f>HYPERLINK("https://www.alpinabook.ru/catalog/book-byt-geniem","ссылка на книгу")</f>
        <v>ссылка на книгу</v>
      </c>
      <c r="Y676" s="34" t="str">
        <f>HYPERLINK("https://api-enni.alpina.ru/FilePrivilegesApproval/132","https://api-enni.alpina.ru/FilePrivilegesApproval/132")</f>
        <v>https://api-enni.alpina.ru/FilePrivilegesApproval/132</v>
      </c>
      <c r="Z676" s="13" t="s">
        <v>70</v>
      </c>
      <c r="AT676" s="1">
        <f t="shared" ref="AT676:AT702" si="98">IF($A676&lt;&gt;0,1,0)</f>
        <v>0</v>
      </c>
      <c r="AU676" s="1">
        <f t="shared" ref="AU676:AU702" si="99">$A676*$B676</f>
        <v>0</v>
      </c>
      <c r="AV676" s="1">
        <f t="shared" ref="AV676:AV702" si="100">$A676*$N676</f>
        <v>0</v>
      </c>
      <c r="AW676" s="1">
        <f t="shared" ref="AW676:AW702" si="101">IF($Q676=0,0,INT($A676/$Q676))</f>
        <v>0</v>
      </c>
      <c r="AX676" s="1">
        <f t="shared" ref="AX676:AX702" si="102">$A676-$AW676*$Q676</f>
        <v>0</v>
      </c>
    </row>
    <row r="677" spans="1:50" s="1" customFormat="1" ht="24.95" customHeight="1" outlineLevel="3" x14ac:dyDescent="0.2">
      <c r="A677" s="11"/>
      <c r="B677" s="12">
        <v>390</v>
      </c>
      <c r="C677" s="12">
        <v>690</v>
      </c>
      <c r="D677" s="12">
        <v>30387</v>
      </c>
      <c r="E677" s="13" t="s">
        <v>2167</v>
      </c>
      <c r="F677" s="13" t="s">
        <v>2168</v>
      </c>
      <c r="G677" s="13" t="s">
        <v>86</v>
      </c>
      <c r="H677" s="13"/>
      <c r="I677" s="12">
        <v>2024</v>
      </c>
      <c r="J677" s="13" t="s">
        <v>2169</v>
      </c>
      <c r="K677" s="12">
        <v>9785002232604</v>
      </c>
      <c r="L677" s="13" t="s">
        <v>2170</v>
      </c>
      <c r="M677" s="12">
        <v>464</v>
      </c>
      <c r="N677" s="14">
        <v>0.3</v>
      </c>
      <c r="O677" s="12">
        <v>120</v>
      </c>
      <c r="P677" s="12">
        <v>170</v>
      </c>
      <c r="Q677" s="12">
        <v>14</v>
      </c>
      <c r="R677" s="13" t="s">
        <v>75</v>
      </c>
      <c r="S677" s="13" t="s">
        <v>160</v>
      </c>
      <c r="T677" s="15">
        <v>2000</v>
      </c>
      <c r="U677" s="13" t="s">
        <v>44</v>
      </c>
      <c r="V677" s="13" t="s">
        <v>59</v>
      </c>
      <c r="W677" s="12">
        <v>10</v>
      </c>
      <c r="X677" s="33" t="str">
        <f>HYPERLINK("https://www.alpinabook.ru/catalog/book-125-let-kinodramaturgii","ссылка на книгу")</f>
        <v>ссылка на книгу</v>
      </c>
      <c r="Y677" s="34" t="str">
        <f>HYPERLINK("https://api-enni.alpina.ru/FilePrivilegesApproval/190","https://api-enni.alpina.ru/FilePrivilegesApproval/190")</f>
        <v>https://api-enni.alpina.ru/FilePrivilegesApproval/190</v>
      </c>
      <c r="Z677" s="13"/>
      <c r="AT677" s="1">
        <f t="shared" si="98"/>
        <v>0</v>
      </c>
      <c r="AU677" s="1">
        <f t="shared" si="99"/>
        <v>0</v>
      </c>
      <c r="AV677" s="1">
        <f t="shared" si="100"/>
        <v>0</v>
      </c>
      <c r="AW677" s="1">
        <f t="shared" si="101"/>
        <v>0</v>
      </c>
      <c r="AX677" s="1">
        <f t="shared" si="102"/>
        <v>0</v>
      </c>
    </row>
    <row r="678" spans="1:50" s="1" customFormat="1" ht="24.95" customHeight="1" outlineLevel="3" x14ac:dyDescent="0.2">
      <c r="A678" s="11"/>
      <c r="B678" s="12">
        <v>520</v>
      </c>
      <c r="C678" s="12">
        <v>790</v>
      </c>
      <c r="D678" s="12">
        <v>11149</v>
      </c>
      <c r="E678" s="13" t="s">
        <v>2171</v>
      </c>
      <c r="F678" s="13" t="s">
        <v>2172</v>
      </c>
      <c r="G678" s="13" t="s">
        <v>56</v>
      </c>
      <c r="H678" s="13"/>
      <c r="I678" s="12">
        <v>2020</v>
      </c>
      <c r="J678" s="13" t="s">
        <v>2173</v>
      </c>
      <c r="K678" s="12">
        <v>9785961415490</v>
      </c>
      <c r="L678" s="13" t="s">
        <v>2174</v>
      </c>
      <c r="M678" s="12">
        <v>132</v>
      </c>
      <c r="N678" s="14">
        <v>0.26</v>
      </c>
      <c r="O678" s="12">
        <v>163</v>
      </c>
      <c r="P678" s="12">
        <v>215</v>
      </c>
      <c r="Q678" s="12">
        <v>14</v>
      </c>
      <c r="R678" s="13" t="s">
        <v>100</v>
      </c>
      <c r="S678" s="13"/>
      <c r="T678" s="15">
        <v>1500</v>
      </c>
      <c r="U678" s="13" t="s">
        <v>44</v>
      </c>
      <c r="V678" s="13" t="s">
        <v>45</v>
      </c>
      <c r="W678" s="12">
        <v>10</v>
      </c>
      <c r="X678" s="33" t="str">
        <f>HYPERLINK("https://www.alpinabook.ru/catalog/book-498217","ссылка на книгу")</f>
        <v>ссылка на книгу</v>
      </c>
      <c r="Y678" s="34" t="str">
        <f>HYPERLINK("https://api-enni.alpina.ru/FilePrivilegesApproval/2","https://api-enni.alpina.ru/FilePrivilegesApproval/2")</f>
        <v>https://api-enni.alpina.ru/FilePrivilegesApproval/2</v>
      </c>
      <c r="Z678" s="13"/>
      <c r="AT678" s="1">
        <f t="shared" si="98"/>
        <v>0</v>
      </c>
      <c r="AU678" s="1">
        <f t="shared" si="99"/>
        <v>0</v>
      </c>
      <c r="AV678" s="1">
        <f t="shared" si="100"/>
        <v>0</v>
      </c>
      <c r="AW678" s="1">
        <f t="shared" si="101"/>
        <v>0</v>
      </c>
      <c r="AX678" s="1">
        <f t="shared" si="102"/>
        <v>0</v>
      </c>
    </row>
    <row r="679" spans="1:50" s="1" customFormat="1" ht="24.95" customHeight="1" outlineLevel="3" x14ac:dyDescent="0.2">
      <c r="A679" s="11"/>
      <c r="B679" s="12">
        <v>360</v>
      </c>
      <c r="C679" s="12">
        <v>590</v>
      </c>
      <c r="D679" s="12">
        <v>28520</v>
      </c>
      <c r="E679" s="13" t="s">
        <v>2121</v>
      </c>
      <c r="F679" s="13" t="s">
        <v>2175</v>
      </c>
      <c r="G679" s="13" t="s">
        <v>86</v>
      </c>
      <c r="H679" s="13" t="s">
        <v>40</v>
      </c>
      <c r="I679" s="12">
        <v>2025</v>
      </c>
      <c r="J679" s="13" t="s">
        <v>2176</v>
      </c>
      <c r="K679" s="12">
        <v>9785002230150</v>
      </c>
      <c r="L679" s="13" t="s">
        <v>2177</v>
      </c>
      <c r="M679" s="12">
        <v>320</v>
      </c>
      <c r="N679" s="14">
        <v>0.21</v>
      </c>
      <c r="O679" s="12">
        <v>120</v>
      </c>
      <c r="P679" s="12">
        <v>170</v>
      </c>
      <c r="Q679" s="12">
        <v>32</v>
      </c>
      <c r="R679" s="13" t="s">
        <v>75</v>
      </c>
      <c r="S679" s="13" t="s">
        <v>160</v>
      </c>
      <c r="T679" s="15">
        <v>2000</v>
      </c>
      <c r="U679" s="13" t="s">
        <v>44</v>
      </c>
      <c r="V679" s="13" t="s">
        <v>59</v>
      </c>
      <c r="W679" s="12">
        <v>10</v>
      </c>
      <c r="X679" s="33" t="str">
        <f>HYPERLINK("https://www.alpinabook.ru/catalog/book-arkhitektura-syuzheta","ссылка на книгу")</f>
        <v>ссылка на книгу</v>
      </c>
      <c r="Y679" s="34" t="str">
        <f>HYPERLINK("https://api-enni.alpina.ru/FilePrivilegesApproval/127","https://api-enni.alpina.ru/FilePrivilegesApproval/127")</f>
        <v>https://api-enni.alpina.ru/FilePrivilegesApproval/127</v>
      </c>
      <c r="Z679" s="13" t="s">
        <v>1406</v>
      </c>
      <c r="AT679" s="1">
        <f t="shared" si="98"/>
        <v>0</v>
      </c>
      <c r="AU679" s="1">
        <f t="shared" si="99"/>
        <v>0</v>
      </c>
      <c r="AV679" s="1">
        <f t="shared" si="100"/>
        <v>0</v>
      </c>
      <c r="AW679" s="1">
        <f t="shared" si="101"/>
        <v>0</v>
      </c>
      <c r="AX679" s="1">
        <f t="shared" si="102"/>
        <v>0</v>
      </c>
    </row>
    <row r="680" spans="1:50" s="1" customFormat="1" ht="24.95" customHeight="1" outlineLevel="3" x14ac:dyDescent="0.2">
      <c r="A680" s="11"/>
      <c r="B680" s="12">
        <v>790</v>
      </c>
      <c r="C680" s="15">
        <v>1190</v>
      </c>
      <c r="D680" s="12">
        <v>4734</v>
      </c>
      <c r="E680" s="13" t="s">
        <v>383</v>
      </c>
      <c r="F680" s="13" t="s">
        <v>384</v>
      </c>
      <c r="G680" s="13" t="s">
        <v>86</v>
      </c>
      <c r="H680" s="13" t="s">
        <v>40</v>
      </c>
      <c r="I680" s="12">
        <v>2024</v>
      </c>
      <c r="J680" s="13" t="s">
        <v>385</v>
      </c>
      <c r="K680" s="12">
        <v>9785916717433</v>
      </c>
      <c r="L680" s="13" t="s">
        <v>386</v>
      </c>
      <c r="M680" s="12">
        <v>388</v>
      </c>
      <c r="N680" s="14">
        <v>0.56000000000000005</v>
      </c>
      <c r="O680" s="12">
        <v>146</v>
      </c>
      <c r="P680" s="12">
        <v>216</v>
      </c>
      <c r="Q680" s="12">
        <v>6</v>
      </c>
      <c r="R680" s="13" t="s">
        <v>43</v>
      </c>
      <c r="S680" s="13"/>
      <c r="T680" s="15">
        <v>1000</v>
      </c>
      <c r="U680" s="13" t="s">
        <v>52</v>
      </c>
      <c r="V680" s="13" t="s">
        <v>64</v>
      </c>
      <c r="W680" s="12">
        <v>10</v>
      </c>
      <c r="X680" s="33" t="str">
        <f>HYPERLINK("https://www.alpinabook.ru/catalog/book-gollivudskiy-standart-scenarii","ссылка на книгу")</f>
        <v>ссылка на книгу</v>
      </c>
      <c r="Y680" s="34" t="str">
        <f>HYPERLINK("https://api-enni.alpina.ru/FilePrivilegesApproval/5","https://api-enni.alpina.ru/FilePrivilegesApproval/5")</f>
        <v>https://api-enni.alpina.ru/FilePrivilegesApproval/5</v>
      </c>
      <c r="Z680" s="13" t="s">
        <v>387</v>
      </c>
      <c r="AT680" s="1">
        <f t="shared" si="98"/>
        <v>0</v>
      </c>
      <c r="AU680" s="1">
        <f t="shared" si="99"/>
        <v>0</v>
      </c>
      <c r="AV680" s="1">
        <f t="shared" si="100"/>
        <v>0</v>
      </c>
      <c r="AW680" s="1">
        <f t="shared" si="101"/>
        <v>0</v>
      </c>
      <c r="AX680" s="1">
        <f t="shared" si="102"/>
        <v>0</v>
      </c>
    </row>
    <row r="681" spans="1:50" s="1" customFormat="1" ht="21.95" customHeight="1" outlineLevel="3" x14ac:dyDescent="0.2">
      <c r="A681" s="11"/>
      <c r="B681" s="12">
        <v>590</v>
      </c>
      <c r="C681" s="12">
        <v>840</v>
      </c>
      <c r="D681" s="12">
        <v>30589</v>
      </c>
      <c r="E681" s="13" t="s">
        <v>2178</v>
      </c>
      <c r="F681" s="13" t="s">
        <v>2179</v>
      </c>
      <c r="G681" s="13" t="s">
        <v>86</v>
      </c>
      <c r="H681" s="13"/>
      <c r="I681" s="12">
        <v>2025</v>
      </c>
      <c r="J681" s="13" t="s">
        <v>2180</v>
      </c>
      <c r="K681" s="12">
        <v>9785002232635</v>
      </c>
      <c r="L681" s="13" t="s">
        <v>2181</v>
      </c>
      <c r="M681" s="12">
        <v>272</v>
      </c>
      <c r="N681" s="14">
        <v>0.22</v>
      </c>
      <c r="O681" s="12">
        <v>120</v>
      </c>
      <c r="P681" s="12">
        <v>170</v>
      </c>
      <c r="Q681" s="12">
        <v>36</v>
      </c>
      <c r="R681" s="13" t="s">
        <v>75</v>
      </c>
      <c r="S681" s="13"/>
      <c r="T681" s="15">
        <v>2000</v>
      </c>
      <c r="U681" s="13" t="s">
        <v>44</v>
      </c>
      <c r="V681" s="13" t="s">
        <v>89</v>
      </c>
      <c r="W681" s="12">
        <v>20</v>
      </c>
      <c r="X681" s="33" t="str">
        <f>HYPERLINK("https://www.alpinabook.ru/catalog/book-dialogi-ogon","ссылка на книгу")</f>
        <v>ссылка на книгу</v>
      </c>
      <c r="Y681" s="34" t="str">
        <f>HYPERLINK("","")</f>
        <v/>
      </c>
      <c r="Z681" s="13"/>
      <c r="AT681" s="1">
        <f t="shared" si="98"/>
        <v>0</v>
      </c>
      <c r="AU681" s="1">
        <f t="shared" si="99"/>
        <v>0</v>
      </c>
      <c r="AV681" s="1">
        <f t="shared" si="100"/>
        <v>0</v>
      </c>
      <c r="AW681" s="1">
        <f t="shared" si="101"/>
        <v>0</v>
      </c>
      <c r="AX681" s="1">
        <f t="shared" si="102"/>
        <v>0</v>
      </c>
    </row>
    <row r="682" spans="1:50" s="1" customFormat="1" ht="21.95" customHeight="1" outlineLevel="3" x14ac:dyDescent="0.2">
      <c r="A682" s="11"/>
      <c r="B682" s="12">
        <v>840</v>
      </c>
      <c r="C682" s="12">
        <v>840</v>
      </c>
      <c r="D682" s="12">
        <v>19452</v>
      </c>
      <c r="E682" s="13" t="s">
        <v>2182</v>
      </c>
      <c r="F682" s="13" t="s">
        <v>2183</v>
      </c>
      <c r="G682" s="13" t="s">
        <v>97</v>
      </c>
      <c r="H682" s="13"/>
      <c r="I682" s="12">
        <v>2022</v>
      </c>
      <c r="J682" s="13" t="s">
        <v>2184</v>
      </c>
      <c r="K682" s="12">
        <v>9785907534407</v>
      </c>
      <c r="L682" s="13" t="s">
        <v>2185</v>
      </c>
      <c r="M682" s="12">
        <v>336</v>
      </c>
      <c r="N682" s="14">
        <v>0.42</v>
      </c>
      <c r="O682" s="12">
        <v>141</v>
      </c>
      <c r="P682" s="12">
        <v>210</v>
      </c>
      <c r="Q682" s="12">
        <v>10</v>
      </c>
      <c r="R682" s="13" t="s">
        <v>43</v>
      </c>
      <c r="S682" s="13"/>
      <c r="T682" s="15">
        <v>3500</v>
      </c>
      <c r="U682" s="13" t="s">
        <v>44</v>
      </c>
      <c r="V682" s="13" t="s">
        <v>59</v>
      </c>
      <c r="W682" s="12">
        <v>20</v>
      </c>
      <c r="X682" s="33" t="str">
        <f>HYPERLINK("https://www.alpinabook.ru/catalog/book-interfax","ссылка на книгу")</f>
        <v>ссылка на книгу</v>
      </c>
      <c r="Y682" s="34" t="str">
        <f>HYPERLINK("","")</f>
        <v/>
      </c>
      <c r="Z682" s="13"/>
      <c r="AT682" s="1">
        <f t="shared" si="98"/>
        <v>0</v>
      </c>
      <c r="AU682" s="1">
        <f t="shared" si="99"/>
        <v>0</v>
      </c>
      <c r="AV682" s="1">
        <f t="shared" si="100"/>
        <v>0</v>
      </c>
      <c r="AW682" s="1">
        <f t="shared" si="101"/>
        <v>0</v>
      </c>
      <c r="AX682" s="1">
        <f t="shared" si="102"/>
        <v>0</v>
      </c>
    </row>
    <row r="683" spans="1:50" s="1" customFormat="1" ht="24.95" customHeight="1" outlineLevel="3" x14ac:dyDescent="0.2">
      <c r="A683" s="11"/>
      <c r="B683" s="12">
        <v>690</v>
      </c>
      <c r="C683" s="12">
        <v>740</v>
      </c>
      <c r="D683" s="12">
        <v>18020</v>
      </c>
      <c r="E683" s="13" t="s">
        <v>2186</v>
      </c>
      <c r="F683" s="13" t="s">
        <v>2187</v>
      </c>
      <c r="G683" s="13" t="s">
        <v>86</v>
      </c>
      <c r="H683" s="13" t="s">
        <v>40</v>
      </c>
      <c r="I683" s="12">
        <v>2021</v>
      </c>
      <c r="J683" s="13" t="s">
        <v>2188</v>
      </c>
      <c r="K683" s="12">
        <v>9785001392897</v>
      </c>
      <c r="L683" s="13" t="s">
        <v>2189</v>
      </c>
      <c r="M683" s="12">
        <v>144</v>
      </c>
      <c r="N683" s="14">
        <v>0.17</v>
      </c>
      <c r="O683" s="12">
        <v>112</v>
      </c>
      <c r="P683" s="12">
        <v>171</v>
      </c>
      <c r="Q683" s="12">
        <v>24</v>
      </c>
      <c r="R683" s="13" t="s">
        <v>731</v>
      </c>
      <c r="S683" s="13"/>
      <c r="T683" s="15">
        <v>3000</v>
      </c>
      <c r="U683" s="13" t="s">
        <v>52</v>
      </c>
      <c r="V683" s="13" t="s">
        <v>59</v>
      </c>
      <c r="W683" s="12">
        <v>10</v>
      </c>
      <c r="X683" s="33" t="str">
        <f>HYPERLINK("https://www.alpinabook.ru/catalog/book-679259","ссылка на книгу")</f>
        <v>ссылка на книгу</v>
      </c>
      <c r="Y683" s="34" t="str">
        <f>HYPERLINK("https://api-enni.alpina.ru/FilePrivilegesApproval/151","https://api-enni.alpina.ru/FilePrivilegesApproval/151")</f>
        <v>https://api-enni.alpina.ru/FilePrivilegesApproval/151</v>
      </c>
      <c r="Z683" s="13"/>
      <c r="AT683" s="1">
        <f t="shared" si="98"/>
        <v>0</v>
      </c>
      <c r="AU683" s="1">
        <f t="shared" si="99"/>
        <v>0</v>
      </c>
      <c r="AV683" s="1">
        <f t="shared" si="100"/>
        <v>0</v>
      </c>
      <c r="AW683" s="1">
        <f t="shared" si="101"/>
        <v>0</v>
      </c>
      <c r="AX683" s="1">
        <f t="shared" si="102"/>
        <v>0</v>
      </c>
    </row>
    <row r="684" spans="1:50" s="1" customFormat="1" ht="24.95" customHeight="1" outlineLevel="3" x14ac:dyDescent="0.2">
      <c r="A684" s="11"/>
      <c r="B684" s="12">
        <v>590</v>
      </c>
      <c r="C684" s="12">
        <v>640</v>
      </c>
      <c r="D684" s="12">
        <v>17156</v>
      </c>
      <c r="E684" s="13" t="s">
        <v>2190</v>
      </c>
      <c r="F684" s="13" t="s">
        <v>2191</v>
      </c>
      <c r="G684" s="13" t="s">
        <v>86</v>
      </c>
      <c r="H684" s="13" t="s">
        <v>40</v>
      </c>
      <c r="I684" s="12">
        <v>2020</v>
      </c>
      <c r="J684" s="13" t="s">
        <v>2192</v>
      </c>
      <c r="K684" s="12">
        <v>9785001392132</v>
      </c>
      <c r="L684" s="13" t="s">
        <v>2193</v>
      </c>
      <c r="M684" s="12">
        <v>179</v>
      </c>
      <c r="N684" s="14">
        <v>0.32</v>
      </c>
      <c r="O684" s="12">
        <v>146</v>
      </c>
      <c r="P684" s="12">
        <v>216</v>
      </c>
      <c r="Q684" s="12">
        <v>22</v>
      </c>
      <c r="R684" s="13" t="s">
        <v>43</v>
      </c>
      <c r="S684" s="13"/>
      <c r="T684" s="15">
        <v>2000</v>
      </c>
      <c r="U684" s="13" t="s">
        <v>52</v>
      </c>
      <c r="V684" s="13" t="s">
        <v>59</v>
      </c>
      <c r="W684" s="12">
        <v>10</v>
      </c>
      <c r="X684" s="33" t="str">
        <f>HYPERLINK("https://www.alpinabook.ru/catalog/book-598485","ссылка на книгу")</f>
        <v>ссылка на книгу</v>
      </c>
      <c r="Y684" s="34" t="str">
        <f>HYPERLINK("https://api-enni.alpina.ru/FilePrivilegesApproval/254","https://api-enni.alpina.ru/FilePrivilegesApproval/254")</f>
        <v>https://api-enni.alpina.ru/FilePrivilegesApproval/254</v>
      </c>
      <c r="Z684" s="13"/>
      <c r="AT684" s="1">
        <f t="shared" si="98"/>
        <v>0</v>
      </c>
      <c r="AU684" s="1">
        <f t="shared" si="99"/>
        <v>0</v>
      </c>
      <c r="AV684" s="1">
        <f t="shared" si="100"/>
        <v>0</v>
      </c>
      <c r="AW684" s="1">
        <f t="shared" si="101"/>
        <v>0</v>
      </c>
      <c r="AX684" s="1">
        <f t="shared" si="102"/>
        <v>0</v>
      </c>
    </row>
    <row r="685" spans="1:50" s="1" customFormat="1" ht="24.95" customHeight="1" outlineLevel="3" x14ac:dyDescent="0.2">
      <c r="A685" s="11"/>
      <c r="B685" s="12">
        <v>890</v>
      </c>
      <c r="C685" s="15">
        <v>1290</v>
      </c>
      <c r="D685" s="12">
        <v>27384</v>
      </c>
      <c r="E685" s="13" t="s">
        <v>2194</v>
      </c>
      <c r="F685" s="13" t="s">
        <v>2195</v>
      </c>
      <c r="G685" s="13" t="s">
        <v>97</v>
      </c>
      <c r="H685" s="13"/>
      <c r="I685" s="12">
        <v>2023</v>
      </c>
      <c r="J685" s="13" t="s">
        <v>2196</v>
      </c>
      <c r="K685" s="12">
        <v>9785206001518</v>
      </c>
      <c r="L685" s="13" t="s">
        <v>2197</v>
      </c>
      <c r="M685" s="12">
        <v>384</v>
      </c>
      <c r="N685" s="14">
        <v>0.79</v>
      </c>
      <c r="O685" s="12">
        <v>170</v>
      </c>
      <c r="P685" s="12">
        <v>240</v>
      </c>
      <c r="Q685" s="12">
        <v>5</v>
      </c>
      <c r="R685" s="13" t="s">
        <v>94</v>
      </c>
      <c r="S685" s="13"/>
      <c r="T685" s="15">
        <v>2010</v>
      </c>
      <c r="U685" s="13" t="s">
        <v>44</v>
      </c>
      <c r="V685" s="13" t="s">
        <v>89</v>
      </c>
      <c r="W685" s="12">
        <v>20</v>
      </c>
      <c r="X685" s="33" t="str">
        <f>HYPERLINK("https://www.alpinabook.ru/catalog/book-leviafan-razbor-po-kostochkam-clapan","ссылка на книгу")</f>
        <v>ссылка на книгу</v>
      </c>
      <c r="Y685" s="34" t="str">
        <f>HYPERLINK("https://api-enni.alpina.ru/FilePrivilegesApproval/199","https://api-enni.alpina.ru/FilePrivilegesApproval/199")</f>
        <v>https://api-enni.alpina.ru/FilePrivilegesApproval/199</v>
      </c>
      <c r="Z685" s="13"/>
      <c r="AT685" s="1">
        <f t="shared" si="98"/>
        <v>0</v>
      </c>
      <c r="AU685" s="1">
        <f t="shared" si="99"/>
        <v>0</v>
      </c>
      <c r="AV685" s="1">
        <f t="shared" si="100"/>
        <v>0</v>
      </c>
      <c r="AW685" s="1">
        <f t="shared" si="101"/>
        <v>0</v>
      </c>
      <c r="AX685" s="1">
        <f t="shared" si="102"/>
        <v>0</v>
      </c>
    </row>
    <row r="686" spans="1:50" s="1" customFormat="1" ht="24.95" customHeight="1" outlineLevel="3" x14ac:dyDescent="0.2">
      <c r="A686" s="11"/>
      <c r="B686" s="12">
        <v>590</v>
      </c>
      <c r="C686" s="12">
        <v>840</v>
      </c>
      <c r="D686" s="12">
        <v>25293</v>
      </c>
      <c r="E686" s="13" t="s">
        <v>977</v>
      </c>
      <c r="F686" s="13" t="s">
        <v>2198</v>
      </c>
      <c r="G686" s="13" t="s">
        <v>56</v>
      </c>
      <c r="H686" s="13"/>
      <c r="I686" s="12">
        <v>2024</v>
      </c>
      <c r="J686" s="13" t="s">
        <v>2199</v>
      </c>
      <c r="K686" s="12">
        <v>9785961479188</v>
      </c>
      <c r="L686" s="13" t="s">
        <v>2200</v>
      </c>
      <c r="M686" s="12">
        <v>292</v>
      </c>
      <c r="N686" s="14">
        <v>0.37</v>
      </c>
      <c r="O686" s="12">
        <v>150</v>
      </c>
      <c r="P686" s="12">
        <v>210</v>
      </c>
      <c r="Q686" s="12">
        <v>16</v>
      </c>
      <c r="R686" s="13" t="s">
        <v>43</v>
      </c>
      <c r="S686" s="13"/>
      <c r="T686" s="15">
        <v>1500</v>
      </c>
      <c r="U686" s="13" t="s">
        <v>44</v>
      </c>
      <c r="V686" s="13" t="s">
        <v>59</v>
      </c>
      <c r="W686" s="12">
        <v>10</v>
      </c>
      <c r="X686" s="33" t="str">
        <f>HYPERLINK("https://www.alpinabook.ru/catalog/book-legkiy-tekst","ссылка на книгу")</f>
        <v>ссылка на книгу</v>
      </c>
      <c r="Y686" s="34" t="str">
        <f>HYPERLINK("https://api-enni.alpina.ru/FilePrivilegesApproval/157","https://api-enni.alpina.ru/FilePrivilegesApproval/157")</f>
        <v>https://api-enni.alpina.ru/FilePrivilegesApproval/157</v>
      </c>
      <c r="Z686" s="13"/>
      <c r="AT686" s="1">
        <f t="shared" si="98"/>
        <v>0</v>
      </c>
      <c r="AU686" s="1">
        <f t="shared" si="99"/>
        <v>0</v>
      </c>
      <c r="AV686" s="1">
        <f t="shared" si="100"/>
        <v>0</v>
      </c>
      <c r="AW686" s="1">
        <f t="shared" si="101"/>
        <v>0</v>
      </c>
      <c r="AX686" s="1">
        <f t="shared" si="102"/>
        <v>0</v>
      </c>
    </row>
    <row r="687" spans="1:50" s="1" customFormat="1" ht="24.95" customHeight="1" outlineLevel="3" x14ac:dyDescent="0.2">
      <c r="A687" s="11"/>
      <c r="B687" s="12">
        <v>790</v>
      </c>
      <c r="C687" s="12">
        <v>990</v>
      </c>
      <c r="D687" s="12">
        <v>8377</v>
      </c>
      <c r="E687" s="13" t="s">
        <v>2201</v>
      </c>
      <c r="F687" s="13" t="s">
        <v>2202</v>
      </c>
      <c r="G687" s="13" t="s">
        <v>86</v>
      </c>
      <c r="H687" s="13" t="s">
        <v>40</v>
      </c>
      <c r="I687" s="12">
        <v>2023</v>
      </c>
      <c r="J687" s="13" t="s">
        <v>2203</v>
      </c>
      <c r="K687" s="12">
        <v>9785916718508</v>
      </c>
      <c r="L687" s="13" t="s">
        <v>2204</v>
      </c>
      <c r="M687" s="12">
        <v>310</v>
      </c>
      <c r="N687" s="14">
        <v>0.48</v>
      </c>
      <c r="O687" s="12">
        <v>163</v>
      </c>
      <c r="P687" s="12">
        <v>216</v>
      </c>
      <c r="Q687" s="12">
        <v>12</v>
      </c>
      <c r="R687" s="13" t="s">
        <v>43</v>
      </c>
      <c r="S687" s="13"/>
      <c r="T687" s="15">
        <v>1500</v>
      </c>
      <c r="U687" s="13" t="s">
        <v>52</v>
      </c>
      <c r="V687" s="13" t="s">
        <v>64</v>
      </c>
      <c r="W687" s="12">
        <v>10</v>
      </c>
      <c r="X687" s="33" t="str">
        <f>HYPERLINK("https://www.alpinabook.ru/catalog/book-metod-li-strasberga-sberbank","ссылка на книгу")</f>
        <v>ссылка на книгу</v>
      </c>
      <c r="Y687" s="34" t="str">
        <f>HYPERLINK("https://api-enni.alpina.ru/FilePrivilegesApproval/146","https://api-enni.alpina.ru/FilePrivilegesApproval/146")</f>
        <v>https://api-enni.alpina.ru/FilePrivilegesApproval/146</v>
      </c>
      <c r="Z687" s="13" t="s">
        <v>77</v>
      </c>
      <c r="AT687" s="1">
        <f t="shared" si="98"/>
        <v>0</v>
      </c>
      <c r="AU687" s="1">
        <f t="shared" si="99"/>
        <v>0</v>
      </c>
      <c r="AV687" s="1">
        <f t="shared" si="100"/>
        <v>0</v>
      </c>
      <c r="AW687" s="1">
        <f t="shared" si="101"/>
        <v>0</v>
      </c>
      <c r="AX687" s="1">
        <f t="shared" si="102"/>
        <v>0</v>
      </c>
    </row>
    <row r="688" spans="1:50" s="1" customFormat="1" ht="24.95" customHeight="1" outlineLevel="3" x14ac:dyDescent="0.2">
      <c r="A688" s="11"/>
      <c r="B688" s="12">
        <v>790</v>
      </c>
      <c r="C688" s="12">
        <v>790</v>
      </c>
      <c r="D688" s="12">
        <v>24247</v>
      </c>
      <c r="E688" s="13" t="s">
        <v>2205</v>
      </c>
      <c r="F688" s="13" t="s">
        <v>2206</v>
      </c>
      <c r="G688" s="13" t="s">
        <v>97</v>
      </c>
      <c r="H688" s="13"/>
      <c r="I688" s="12">
        <v>2022</v>
      </c>
      <c r="J688" s="13" t="s">
        <v>2207</v>
      </c>
      <c r="K688" s="12">
        <v>9785907470606</v>
      </c>
      <c r="L688" s="13" t="s">
        <v>2208</v>
      </c>
      <c r="M688" s="12">
        <v>256</v>
      </c>
      <c r="N688" s="14">
        <v>0.41</v>
      </c>
      <c r="O688" s="12">
        <v>153</v>
      </c>
      <c r="P688" s="12">
        <v>216</v>
      </c>
      <c r="Q688" s="12">
        <v>14</v>
      </c>
      <c r="R688" s="13" t="s">
        <v>43</v>
      </c>
      <c r="S688" s="13"/>
      <c r="T688" s="15">
        <v>1000</v>
      </c>
      <c r="U688" s="13" t="s">
        <v>52</v>
      </c>
      <c r="V688" s="13" t="s">
        <v>59</v>
      </c>
      <c r="W688" s="12">
        <v>10</v>
      </c>
      <c r="X688" s="33" t="str">
        <f>HYPERLINK("https://www.alpinabook.ru/catalog/book-napishite-moyu-knigu","ссылка на книгу")</f>
        <v>ссылка на книгу</v>
      </c>
      <c r="Y688" s="34" t="str">
        <f>HYPERLINK("https://api-enni.alpina.ru/FilePrivilegesApproval/129","https://api-enni.alpina.ru/FilePrivilegesApproval/129")</f>
        <v>https://api-enni.alpina.ru/FilePrivilegesApproval/129</v>
      </c>
      <c r="Z688" s="13"/>
      <c r="AT688" s="1">
        <f t="shared" si="98"/>
        <v>0</v>
      </c>
      <c r="AU688" s="1">
        <f t="shared" si="99"/>
        <v>0</v>
      </c>
      <c r="AV688" s="1">
        <f t="shared" si="100"/>
        <v>0</v>
      </c>
      <c r="AW688" s="1">
        <f t="shared" si="101"/>
        <v>0</v>
      </c>
      <c r="AX688" s="1">
        <f t="shared" si="102"/>
        <v>0</v>
      </c>
    </row>
    <row r="689" spans="1:50" s="1" customFormat="1" ht="24.95" customHeight="1" outlineLevel="3" x14ac:dyDescent="0.2">
      <c r="A689" s="11"/>
      <c r="B689" s="12">
        <v>590</v>
      </c>
      <c r="C689" s="12">
        <v>890</v>
      </c>
      <c r="D689" s="12">
        <v>24533</v>
      </c>
      <c r="E689" s="13" t="s">
        <v>2209</v>
      </c>
      <c r="F689" s="13" t="s">
        <v>2210</v>
      </c>
      <c r="G689" s="13" t="s">
        <v>39</v>
      </c>
      <c r="H689" s="13"/>
      <c r="I689" s="12">
        <v>2024</v>
      </c>
      <c r="J689" s="13" t="s">
        <v>2211</v>
      </c>
      <c r="K689" s="12">
        <v>9785001396130</v>
      </c>
      <c r="L689" s="13" t="s">
        <v>2212</v>
      </c>
      <c r="M689" s="12">
        <v>288</v>
      </c>
      <c r="N689" s="14">
        <v>0.28999999999999998</v>
      </c>
      <c r="O689" s="12">
        <v>150</v>
      </c>
      <c r="P689" s="12">
        <v>200</v>
      </c>
      <c r="Q689" s="12">
        <v>14</v>
      </c>
      <c r="R689" s="13" t="s">
        <v>43</v>
      </c>
      <c r="S689" s="13"/>
      <c r="T689" s="15">
        <v>1500</v>
      </c>
      <c r="U689" s="13" t="s">
        <v>44</v>
      </c>
      <c r="V689" s="13" t="s">
        <v>89</v>
      </c>
      <c r="W689" s="12">
        <v>10</v>
      </c>
      <c r="X689" s="33" t="str">
        <f>HYPERLINK("https://www.alpinabook.ru/catalog/book-nochnaya-smena","ссылка на книгу")</f>
        <v>ссылка на книгу</v>
      </c>
      <c r="Y689" s="34" t="str">
        <f>HYPERLINK("https://api-enni.alpina.ru/FilePrivilegesApproval/145","https://api-enni.alpina.ru/FilePrivilegesApproval/145")</f>
        <v>https://api-enni.alpina.ru/FilePrivilegesApproval/145</v>
      </c>
      <c r="Z689" s="13"/>
      <c r="AT689" s="1">
        <f t="shared" si="98"/>
        <v>0</v>
      </c>
      <c r="AU689" s="1">
        <f t="shared" si="99"/>
        <v>0</v>
      </c>
      <c r="AV689" s="1">
        <f t="shared" si="100"/>
        <v>0</v>
      </c>
      <c r="AW689" s="1">
        <f t="shared" si="101"/>
        <v>0</v>
      </c>
      <c r="AX689" s="1">
        <f t="shared" si="102"/>
        <v>0</v>
      </c>
    </row>
    <row r="690" spans="1:50" s="1" customFormat="1" ht="24.95" customHeight="1" outlineLevel="3" x14ac:dyDescent="0.2">
      <c r="A690" s="11"/>
      <c r="B690" s="12">
        <v>690</v>
      </c>
      <c r="C690" s="12">
        <v>890</v>
      </c>
      <c r="D690" s="12">
        <v>18926</v>
      </c>
      <c r="E690" s="13" t="s">
        <v>2213</v>
      </c>
      <c r="F690" s="13" t="s">
        <v>2214</v>
      </c>
      <c r="G690" s="13" t="s">
        <v>86</v>
      </c>
      <c r="H690" s="13"/>
      <c r="I690" s="12">
        <v>2021</v>
      </c>
      <c r="J690" s="13" t="s">
        <v>2215</v>
      </c>
      <c r="K690" s="12">
        <v>9785001393382</v>
      </c>
      <c r="L690" s="13" t="s">
        <v>2216</v>
      </c>
      <c r="M690" s="12">
        <v>242</v>
      </c>
      <c r="N690" s="14">
        <v>0.4</v>
      </c>
      <c r="O690" s="12">
        <v>146</v>
      </c>
      <c r="P690" s="12">
        <v>216</v>
      </c>
      <c r="Q690" s="12">
        <v>14</v>
      </c>
      <c r="R690" s="13" t="s">
        <v>43</v>
      </c>
      <c r="S690" s="13"/>
      <c r="T690" s="15">
        <v>2000</v>
      </c>
      <c r="U690" s="13" t="s">
        <v>52</v>
      </c>
      <c r="V690" s="13" t="s">
        <v>59</v>
      </c>
      <c r="W690" s="12">
        <v>10</v>
      </c>
      <c r="X690" s="33" t="str">
        <f>HYPERLINK("https://www.alpinabook.ru/catalog/book-670981","ссылка на книгу")</f>
        <v>ссылка на книгу</v>
      </c>
      <c r="Y690" s="34" t="str">
        <f>HYPERLINK("https://api-enni.alpina.ru/FilePrivilegesApproval/259","https://api-enni.alpina.ru/FilePrivilegesApproval/259")</f>
        <v>https://api-enni.alpina.ru/FilePrivilegesApproval/259</v>
      </c>
      <c r="Z690" s="13"/>
      <c r="AT690" s="1">
        <f t="shared" si="98"/>
        <v>0</v>
      </c>
      <c r="AU690" s="1">
        <f t="shared" si="99"/>
        <v>0</v>
      </c>
      <c r="AV690" s="1">
        <f t="shared" si="100"/>
        <v>0</v>
      </c>
      <c r="AW690" s="1">
        <f t="shared" si="101"/>
        <v>0</v>
      </c>
      <c r="AX690" s="1">
        <f t="shared" si="102"/>
        <v>0</v>
      </c>
    </row>
    <row r="691" spans="1:50" s="1" customFormat="1" ht="24.95" customHeight="1" outlineLevel="3" x14ac:dyDescent="0.2">
      <c r="A691" s="11"/>
      <c r="B691" s="12">
        <v>790</v>
      </c>
      <c r="C691" s="12">
        <v>790</v>
      </c>
      <c r="D691" s="12">
        <v>21099</v>
      </c>
      <c r="E691" s="13" t="s">
        <v>2217</v>
      </c>
      <c r="F691" s="13" t="s">
        <v>2218</v>
      </c>
      <c r="G691" s="13" t="s">
        <v>86</v>
      </c>
      <c r="H691" s="13" t="s">
        <v>40</v>
      </c>
      <c r="I691" s="12">
        <v>2022</v>
      </c>
      <c r="J691" s="13" t="s">
        <v>2219</v>
      </c>
      <c r="K691" s="12">
        <v>9785001394211</v>
      </c>
      <c r="L691" s="13" t="s">
        <v>2220</v>
      </c>
      <c r="M691" s="12">
        <v>282</v>
      </c>
      <c r="N691" s="14">
        <v>0.27</v>
      </c>
      <c r="O691" s="12">
        <v>130</v>
      </c>
      <c r="P691" s="12">
        <v>206</v>
      </c>
      <c r="Q691" s="12">
        <v>14</v>
      </c>
      <c r="R691" s="13" t="s">
        <v>82</v>
      </c>
      <c r="S691" s="13"/>
      <c r="T691" s="15">
        <v>2000</v>
      </c>
      <c r="U691" s="13" t="s">
        <v>52</v>
      </c>
      <c r="V691" s="13" t="s">
        <v>59</v>
      </c>
      <c r="W691" s="12">
        <v>10</v>
      </c>
      <c r="X691" s="33" t="str">
        <f>HYPERLINK("https://www.alpinabook.ru/catalog/book-pitch-vsemogushchiy","ссылка на книгу")</f>
        <v>ссылка на книгу</v>
      </c>
      <c r="Y691" s="34" t="str">
        <f>HYPERLINK("https://api-enni.alpina.ru/FilePrivilegesApproval/179","https://api-enni.alpina.ru/FilePrivilegesApproval/179")</f>
        <v>https://api-enni.alpina.ru/FilePrivilegesApproval/179</v>
      </c>
      <c r="Z691" s="13"/>
      <c r="AT691" s="1">
        <f t="shared" si="98"/>
        <v>0</v>
      </c>
      <c r="AU691" s="1">
        <f t="shared" si="99"/>
        <v>0</v>
      </c>
      <c r="AV691" s="1">
        <f t="shared" si="100"/>
        <v>0</v>
      </c>
      <c r="AW691" s="1">
        <f t="shared" si="101"/>
        <v>0</v>
      </c>
      <c r="AX691" s="1">
        <f t="shared" si="102"/>
        <v>0</v>
      </c>
    </row>
    <row r="692" spans="1:50" s="1" customFormat="1" ht="24.95" customHeight="1" outlineLevel="3" x14ac:dyDescent="0.2">
      <c r="A692" s="11"/>
      <c r="B692" s="12">
        <v>340</v>
      </c>
      <c r="C692" s="12">
        <v>540</v>
      </c>
      <c r="D692" s="12">
        <v>28281</v>
      </c>
      <c r="E692" s="13" t="s">
        <v>2221</v>
      </c>
      <c r="F692" s="13" t="s">
        <v>2222</v>
      </c>
      <c r="G692" s="13" t="s">
        <v>56</v>
      </c>
      <c r="H692" s="13"/>
      <c r="I692" s="12">
        <v>2024</v>
      </c>
      <c r="J692" s="13" t="s">
        <v>2223</v>
      </c>
      <c r="K692" s="12">
        <v>9785961487725</v>
      </c>
      <c r="L692" s="13" t="s">
        <v>2224</v>
      </c>
      <c r="M692" s="12">
        <v>624</v>
      </c>
      <c r="N692" s="14">
        <v>0.4</v>
      </c>
      <c r="O692" s="12">
        <v>120</v>
      </c>
      <c r="P692" s="12">
        <v>170</v>
      </c>
      <c r="Q692" s="12">
        <v>10</v>
      </c>
      <c r="R692" s="13" t="s">
        <v>75</v>
      </c>
      <c r="S692" s="13" t="s">
        <v>160</v>
      </c>
      <c r="T692" s="15">
        <v>2000</v>
      </c>
      <c r="U692" s="13" t="s">
        <v>44</v>
      </c>
      <c r="V692" s="13" t="s">
        <v>45</v>
      </c>
      <c r="W692" s="12">
        <v>10</v>
      </c>
      <c r="X692" s="33" t="str">
        <f>HYPERLINK("https://www.alpinabook.ru/catalog/book-pishi-ryano-redaktiruy-rezvo","ссылка на книгу")</f>
        <v>ссылка на книгу</v>
      </c>
      <c r="Y692" s="34" t="str">
        <f>HYPERLINK("https://api-enni.alpina.ru/FilePrivilegesApproval/238","https://api-enni.alpina.ru/FilePrivilegesApproval/238")</f>
        <v>https://api-enni.alpina.ru/FilePrivilegesApproval/238</v>
      </c>
      <c r="Z692" s="13"/>
      <c r="AT692" s="1">
        <f t="shared" si="98"/>
        <v>0</v>
      </c>
      <c r="AU692" s="1">
        <f t="shared" si="99"/>
        <v>0</v>
      </c>
      <c r="AV692" s="1">
        <f t="shared" si="100"/>
        <v>0</v>
      </c>
      <c r="AW692" s="1">
        <f t="shared" si="101"/>
        <v>0</v>
      </c>
      <c r="AX692" s="1">
        <f t="shared" si="102"/>
        <v>0</v>
      </c>
    </row>
    <row r="693" spans="1:50" s="1" customFormat="1" ht="24.95" customHeight="1" outlineLevel="3" x14ac:dyDescent="0.2">
      <c r="A693" s="11"/>
      <c r="B693" s="12">
        <v>690</v>
      </c>
      <c r="C693" s="12">
        <v>690</v>
      </c>
      <c r="D693" s="12">
        <v>12696</v>
      </c>
      <c r="E693" s="13" t="s">
        <v>642</v>
      </c>
      <c r="F693" s="13" t="s">
        <v>643</v>
      </c>
      <c r="G693" s="13" t="s">
        <v>56</v>
      </c>
      <c r="H693" s="13" t="s">
        <v>40</v>
      </c>
      <c r="I693" s="12">
        <v>2025</v>
      </c>
      <c r="J693" s="13" t="s">
        <v>644</v>
      </c>
      <c r="K693" s="12">
        <v>9785961442182</v>
      </c>
      <c r="L693" s="13" t="s">
        <v>645</v>
      </c>
      <c r="M693" s="12">
        <v>568</v>
      </c>
      <c r="N693" s="14">
        <v>0.75</v>
      </c>
      <c r="O693" s="12">
        <v>146</v>
      </c>
      <c r="P693" s="12">
        <v>216</v>
      </c>
      <c r="Q693" s="12">
        <v>4</v>
      </c>
      <c r="R693" s="13" t="s">
        <v>43</v>
      </c>
      <c r="S693" s="13"/>
      <c r="T693" s="15">
        <v>1000</v>
      </c>
      <c r="U693" s="13" t="s">
        <v>52</v>
      </c>
      <c r="V693" s="13" t="s">
        <v>64</v>
      </c>
      <c r="W693" s="12">
        <v>10</v>
      </c>
      <c r="X693" s="33" t="str">
        <f>HYPERLINK("https://www.alpinabook.ru/catalog/book-pozhaleyte-chitatelya","ссылка на книгу")</f>
        <v>ссылка на книгу</v>
      </c>
      <c r="Y693" s="34" t="str">
        <f>HYPERLINK("https://api-enni.alpina.ru/FilePrivilegesApproval/140","https://api-enni.alpina.ru/FilePrivilegesApproval/140")</f>
        <v>https://api-enni.alpina.ru/FilePrivilegesApproval/140</v>
      </c>
      <c r="Z693" s="13" t="s">
        <v>431</v>
      </c>
      <c r="AT693" s="1">
        <f t="shared" si="98"/>
        <v>0</v>
      </c>
      <c r="AU693" s="1">
        <f t="shared" si="99"/>
        <v>0</v>
      </c>
      <c r="AV693" s="1">
        <f t="shared" si="100"/>
        <v>0</v>
      </c>
      <c r="AW693" s="1">
        <f t="shared" si="101"/>
        <v>0</v>
      </c>
      <c r="AX693" s="1">
        <f t="shared" si="102"/>
        <v>0</v>
      </c>
    </row>
    <row r="694" spans="1:50" s="1" customFormat="1" ht="24.95" customHeight="1" outlineLevel="3" x14ac:dyDescent="0.2">
      <c r="A694" s="26"/>
      <c r="B694" s="27">
        <v>590</v>
      </c>
      <c r="C694" s="27">
        <v>590</v>
      </c>
      <c r="D694" s="27">
        <v>17514</v>
      </c>
      <c r="E694" s="29" t="s">
        <v>2225</v>
      </c>
      <c r="F694" s="29" t="s">
        <v>2226</v>
      </c>
      <c r="G694" s="29" t="s">
        <v>56</v>
      </c>
      <c r="H694" s="29"/>
      <c r="I694" s="27">
        <v>2021</v>
      </c>
      <c r="J694" s="29" t="s">
        <v>2227</v>
      </c>
      <c r="K694" s="27">
        <v>9785961440935</v>
      </c>
      <c r="L694" s="29" t="s">
        <v>2228</v>
      </c>
      <c r="M694" s="27">
        <v>446</v>
      </c>
      <c r="N694" s="30">
        <v>0.55000000000000004</v>
      </c>
      <c r="O694" s="27">
        <v>141</v>
      </c>
      <c r="P694" s="27">
        <v>210</v>
      </c>
      <c r="Q694" s="27">
        <v>10</v>
      </c>
      <c r="R694" s="29" t="s">
        <v>43</v>
      </c>
      <c r="S694" s="29"/>
      <c r="T694" s="28">
        <v>1500</v>
      </c>
      <c r="U694" s="29" t="s">
        <v>604</v>
      </c>
      <c r="V694" s="29" t="s">
        <v>45</v>
      </c>
      <c r="W694" s="27">
        <v>10</v>
      </c>
      <c r="X694" s="37" t="str">
        <f>HYPERLINK("https://www.alpinabook.ru/catalog/book-641015","ссылка на книгу")</f>
        <v>ссылка на книгу</v>
      </c>
      <c r="Y694" s="38" t="str">
        <f>HYPERLINK("https://api-enni.alpina.ru/FilePrivilegesApproval/102","https://api-enni.alpina.ru/FilePrivilegesApproval/102")</f>
        <v>https://api-enni.alpina.ru/FilePrivilegesApproval/102</v>
      </c>
      <c r="Z694" s="29"/>
      <c r="AT694" s="1">
        <f t="shared" si="98"/>
        <v>0</v>
      </c>
      <c r="AU694" s="1">
        <f t="shared" si="99"/>
        <v>0</v>
      </c>
      <c r="AV694" s="1">
        <f t="shared" si="100"/>
        <v>0</v>
      </c>
      <c r="AW694" s="1">
        <f t="shared" si="101"/>
        <v>0</v>
      </c>
      <c r="AX694" s="1">
        <f t="shared" si="102"/>
        <v>0</v>
      </c>
    </row>
    <row r="695" spans="1:50" s="1" customFormat="1" ht="24.95" customHeight="1" outlineLevel="3" x14ac:dyDescent="0.2">
      <c r="A695" s="11"/>
      <c r="B695" s="12">
        <v>390</v>
      </c>
      <c r="C695" s="12">
        <v>640</v>
      </c>
      <c r="D695" s="12">
        <v>27569</v>
      </c>
      <c r="E695" s="13" t="s">
        <v>2229</v>
      </c>
      <c r="F695" s="13" t="s">
        <v>2230</v>
      </c>
      <c r="G695" s="13" t="s">
        <v>86</v>
      </c>
      <c r="H695" s="13"/>
      <c r="I695" s="12">
        <v>2025</v>
      </c>
      <c r="J695" s="13" t="s">
        <v>2231</v>
      </c>
      <c r="K695" s="12">
        <v>9785001399322</v>
      </c>
      <c r="L695" s="13" t="s">
        <v>2232</v>
      </c>
      <c r="M695" s="12">
        <v>384</v>
      </c>
      <c r="N695" s="14">
        <v>0.25</v>
      </c>
      <c r="O695" s="12">
        <v>120</v>
      </c>
      <c r="P695" s="12">
        <v>170</v>
      </c>
      <c r="Q695" s="12">
        <v>16</v>
      </c>
      <c r="R695" s="13" t="s">
        <v>75</v>
      </c>
      <c r="S695" s="13" t="s">
        <v>160</v>
      </c>
      <c r="T695" s="15">
        <v>2000</v>
      </c>
      <c r="U695" s="13" t="s">
        <v>44</v>
      </c>
      <c r="V695" s="13" t="s">
        <v>45</v>
      </c>
      <c r="W695" s="12">
        <v>10</v>
      </c>
      <c r="X695" s="33" t="str">
        <f>HYPERLINK("https://www.alpinabook.ru/catalog/book-psikhologiya-v-kino","ссылка на книгу")</f>
        <v>ссылка на книгу</v>
      </c>
      <c r="Y695" s="34" t="str">
        <f>HYPERLINK("https://api-enni.alpina.ru/FilePrivilegesApproval/187","https://api-enni.alpina.ru/FilePrivilegesApproval/187")</f>
        <v>https://api-enni.alpina.ru/FilePrivilegesApproval/187</v>
      </c>
      <c r="Z695" s="13" t="s">
        <v>954</v>
      </c>
      <c r="AT695" s="1">
        <f t="shared" si="98"/>
        <v>0</v>
      </c>
      <c r="AU695" s="1">
        <f t="shared" si="99"/>
        <v>0</v>
      </c>
      <c r="AV695" s="1">
        <f t="shared" si="100"/>
        <v>0</v>
      </c>
      <c r="AW695" s="1">
        <f t="shared" si="101"/>
        <v>0</v>
      </c>
      <c r="AX695" s="1">
        <f t="shared" si="102"/>
        <v>0</v>
      </c>
    </row>
    <row r="696" spans="1:50" s="1" customFormat="1" ht="24.95" customHeight="1" outlineLevel="3" x14ac:dyDescent="0.2">
      <c r="A696" s="11"/>
      <c r="B696" s="12">
        <v>490</v>
      </c>
      <c r="C696" s="12">
        <v>740</v>
      </c>
      <c r="D696" s="12">
        <v>26655</v>
      </c>
      <c r="E696" s="13" t="s">
        <v>2233</v>
      </c>
      <c r="F696" s="13" t="s">
        <v>2234</v>
      </c>
      <c r="G696" s="13" t="s">
        <v>86</v>
      </c>
      <c r="H696" s="13" t="s">
        <v>40</v>
      </c>
      <c r="I696" s="12">
        <v>2024</v>
      </c>
      <c r="J696" s="13" t="s">
        <v>2235</v>
      </c>
      <c r="K696" s="12">
        <v>9785001398097</v>
      </c>
      <c r="L696" s="13" t="s">
        <v>2236</v>
      </c>
      <c r="M696" s="12">
        <v>256</v>
      </c>
      <c r="N696" s="14">
        <v>0.21</v>
      </c>
      <c r="O696" s="12">
        <v>120</v>
      </c>
      <c r="P696" s="12">
        <v>170</v>
      </c>
      <c r="Q696" s="12">
        <v>18</v>
      </c>
      <c r="R696" s="13" t="s">
        <v>75</v>
      </c>
      <c r="S696" s="13"/>
      <c r="T696" s="15">
        <v>2000</v>
      </c>
      <c r="U696" s="13" t="s">
        <v>44</v>
      </c>
      <c r="V696" s="13" t="s">
        <v>269</v>
      </c>
      <c r="W696" s="12">
        <v>10</v>
      </c>
      <c r="X696" s="33" t="str">
        <f>HYPERLINK("https://www.alpinabook.ru/catalog/book-put-komicheskogo-geroya","ссылка на книгу")</f>
        <v>ссылка на книгу</v>
      </c>
      <c r="Y696" s="34" t="str">
        <f>HYPERLINK("https://api-enni.alpina.ru/FilePrivilegesApproval/304","https://api-enni.alpina.ru/FilePrivilegesApproval/304")</f>
        <v>https://api-enni.alpina.ru/FilePrivilegesApproval/304</v>
      </c>
      <c r="Z696" s="13"/>
      <c r="AT696" s="1">
        <f t="shared" si="98"/>
        <v>0</v>
      </c>
      <c r="AU696" s="1">
        <f t="shared" si="99"/>
        <v>0</v>
      </c>
      <c r="AV696" s="1">
        <f t="shared" si="100"/>
        <v>0</v>
      </c>
      <c r="AW696" s="1">
        <f t="shared" si="101"/>
        <v>0</v>
      </c>
      <c r="AX696" s="1">
        <f t="shared" si="102"/>
        <v>0</v>
      </c>
    </row>
    <row r="697" spans="1:50" s="1" customFormat="1" ht="24.95" customHeight="1" outlineLevel="3" x14ac:dyDescent="0.2">
      <c r="A697" s="11"/>
      <c r="B697" s="12">
        <v>590</v>
      </c>
      <c r="C697" s="12">
        <v>590</v>
      </c>
      <c r="D697" s="12">
        <v>11869</v>
      </c>
      <c r="E697" s="13" t="s">
        <v>2237</v>
      </c>
      <c r="F697" s="13" t="s">
        <v>2238</v>
      </c>
      <c r="G697" s="13" t="s">
        <v>56</v>
      </c>
      <c r="H697" s="13"/>
      <c r="I697" s="12">
        <v>2021</v>
      </c>
      <c r="J697" s="13" t="s">
        <v>2239</v>
      </c>
      <c r="K697" s="12">
        <v>9785961471946</v>
      </c>
      <c r="L697" s="13" t="s">
        <v>2240</v>
      </c>
      <c r="M697" s="12">
        <v>166</v>
      </c>
      <c r="N697" s="14">
        <v>0.42</v>
      </c>
      <c r="O697" s="12">
        <v>168</v>
      </c>
      <c r="P697" s="12">
        <v>221</v>
      </c>
      <c r="Q697" s="12">
        <v>10</v>
      </c>
      <c r="R697" s="13" t="s">
        <v>100</v>
      </c>
      <c r="S697" s="13"/>
      <c r="T697" s="15">
        <v>2000</v>
      </c>
      <c r="U697" s="13" t="s">
        <v>52</v>
      </c>
      <c r="V697" s="13" t="s">
        <v>45</v>
      </c>
      <c r="W697" s="12">
        <v>10</v>
      </c>
      <c r="X697" s="33" t="str">
        <f>HYPERLINK("https://www.alpinabook.ru/catalog/book-skrinlayf","ссылка на книгу")</f>
        <v>ссылка на книгу</v>
      </c>
      <c r="Y697" s="34" t="str">
        <f>HYPERLINK("https://api-enni.alpina.ru/FilePrivilegesApproval/121","https://api-enni.alpina.ru/FilePrivilegesApproval/121")</f>
        <v>https://api-enni.alpina.ru/FilePrivilegesApproval/121</v>
      </c>
      <c r="Z697" s="13"/>
      <c r="AT697" s="1">
        <f t="shared" si="98"/>
        <v>0</v>
      </c>
      <c r="AU697" s="1">
        <f t="shared" si="99"/>
        <v>0</v>
      </c>
      <c r="AV697" s="1">
        <f t="shared" si="100"/>
        <v>0</v>
      </c>
      <c r="AW697" s="1">
        <f t="shared" si="101"/>
        <v>0</v>
      </c>
      <c r="AX697" s="1">
        <f t="shared" si="102"/>
        <v>0</v>
      </c>
    </row>
    <row r="698" spans="1:50" s="1" customFormat="1" ht="24.95" customHeight="1" outlineLevel="3" x14ac:dyDescent="0.2">
      <c r="A698" s="11"/>
      <c r="B698" s="12">
        <v>670</v>
      </c>
      <c r="C698" s="12">
        <v>890</v>
      </c>
      <c r="D698" s="12">
        <v>26675</v>
      </c>
      <c r="E698" s="13" t="s">
        <v>2241</v>
      </c>
      <c r="F698" s="13" t="s">
        <v>2242</v>
      </c>
      <c r="G698" s="13" t="s">
        <v>86</v>
      </c>
      <c r="H698" s="13" t="s">
        <v>40</v>
      </c>
      <c r="I698" s="12">
        <v>2024</v>
      </c>
      <c r="J698" s="13" t="s">
        <v>2243</v>
      </c>
      <c r="K698" s="12">
        <v>9785001398134</v>
      </c>
      <c r="L698" s="13" t="s">
        <v>2244</v>
      </c>
      <c r="M698" s="12">
        <v>362</v>
      </c>
      <c r="N698" s="14">
        <v>0.28999999999999998</v>
      </c>
      <c r="O698" s="12">
        <v>120</v>
      </c>
      <c r="P698" s="12">
        <v>170</v>
      </c>
      <c r="Q698" s="12">
        <v>10</v>
      </c>
      <c r="R698" s="13" t="s">
        <v>75</v>
      </c>
      <c r="S698" s="13"/>
      <c r="T698" s="15">
        <v>2000</v>
      </c>
      <c r="U698" s="13" t="s">
        <v>44</v>
      </c>
      <c r="V698" s="13" t="s">
        <v>59</v>
      </c>
      <c r="W698" s="12">
        <v>10</v>
      </c>
      <c r="X698" s="33" t="str">
        <f>HYPERLINK("https://www.alpinabook.ru/catalog/book-stendap","ссылка на книгу")</f>
        <v>ссылка на книгу</v>
      </c>
      <c r="Y698" s="34" t="str">
        <f>HYPERLINK("https://api-enni.alpina.ru/FilePrivilegesApproval/346","https://api-enni.alpina.ru/FilePrivilegesApproval/346")</f>
        <v>https://api-enni.alpina.ru/FilePrivilegesApproval/346</v>
      </c>
      <c r="Z698" s="13"/>
      <c r="AT698" s="1">
        <f t="shared" si="98"/>
        <v>0</v>
      </c>
      <c r="AU698" s="1">
        <f t="shared" si="99"/>
        <v>0</v>
      </c>
      <c r="AV698" s="1">
        <f t="shared" si="100"/>
        <v>0</v>
      </c>
      <c r="AW698" s="1">
        <f t="shared" si="101"/>
        <v>0</v>
      </c>
      <c r="AX698" s="1">
        <f t="shared" si="102"/>
        <v>0</v>
      </c>
    </row>
    <row r="699" spans="1:50" s="1" customFormat="1" ht="24.95" customHeight="1" outlineLevel="3" x14ac:dyDescent="0.2">
      <c r="A699" s="11"/>
      <c r="B699" s="12">
        <v>630</v>
      </c>
      <c r="C699" s="12">
        <v>630</v>
      </c>
      <c r="D699" s="12">
        <v>24119</v>
      </c>
      <c r="E699" s="13" t="s">
        <v>838</v>
      </c>
      <c r="F699" s="13" t="s">
        <v>2245</v>
      </c>
      <c r="G699" s="13" t="s">
        <v>56</v>
      </c>
      <c r="H699" s="13"/>
      <c r="I699" s="12">
        <v>2022</v>
      </c>
      <c r="J699" s="13" t="s">
        <v>2246</v>
      </c>
      <c r="K699" s="12">
        <v>9785961474503</v>
      </c>
      <c r="L699" s="13" t="s">
        <v>2247</v>
      </c>
      <c r="M699" s="12">
        <v>176</v>
      </c>
      <c r="N699" s="14">
        <v>0.31</v>
      </c>
      <c r="O699" s="12">
        <v>130</v>
      </c>
      <c r="P699" s="12">
        <v>206</v>
      </c>
      <c r="Q699" s="12">
        <v>16</v>
      </c>
      <c r="R699" s="13" t="s">
        <v>82</v>
      </c>
      <c r="S699" s="13"/>
      <c r="T699" s="15">
        <v>10000</v>
      </c>
      <c r="U699" s="13" t="s">
        <v>52</v>
      </c>
      <c r="V699" s="13" t="s">
        <v>59</v>
      </c>
      <c r="W699" s="12">
        <v>10</v>
      </c>
      <c r="X699" s="33" t="str">
        <f>HYPERLINK("https://www.alpinabook.ru/catalog/book-tekst-po-polochkam","ссылка на книгу")</f>
        <v>ссылка на книгу</v>
      </c>
      <c r="Y699" s="34" t="str">
        <f>HYPERLINK("https://api-enni.alpina.ru/FilePrivilegesApproval/128","https://api-enni.alpina.ru/FilePrivilegesApproval/128")</f>
        <v>https://api-enni.alpina.ru/FilePrivilegesApproval/128</v>
      </c>
      <c r="Z699" s="13"/>
      <c r="AT699" s="1">
        <f t="shared" si="98"/>
        <v>0</v>
      </c>
      <c r="AU699" s="1">
        <f t="shared" si="99"/>
        <v>0</v>
      </c>
      <c r="AV699" s="1">
        <f t="shared" si="100"/>
        <v>0</v>
      </c>
      <c r="AW699" s="1">
        <f t="shared" si="101"/>
        <v>0</v>
      </c>
      <c r="AX699" s="1">
        <f t="shared" si="102"/>
        <v>0</v>
      </c>
    </row>
    <row r="700" spans="1:50" s="1" customFormat="1" ht="24.95" customHeight="1" outlineLevel="3" x14ac:dyDescent="0.2">
      <c r="A700" s="11"/>
      <c r="B700" s="12">
        <v>550</v>
      </c>
      <c r="C700" s="12">
        <v>790</v>
      </c>
      <c r="D700" s="12">
        <v>31160</v>
      </c>
      <c r="E700" s="13" t="s">
        <v>2248</v>
      </c>
      <c r="F700" s="13" t="s">
        <v>2249</v>
      </c>
      <c r="G700" s="13" t="s">
        <v>86</v>
      </c>
      <c r="H700" s="13" t="s">
        <v>40</v>
      </c>
      <c r="I700" s="12">
        <v>2025</v>
      </c>
      <c r="J700" s="13" t="s">
        <v>2250</v>
      </c>
      <c r="K700" s="12">
        <v>9785002233441</v>
      </c>
      <c r="L700" s="13" t="s">
        <v>2251</v>
      </c>
      <c r="M700" s="12">
        <v>198</v>
      </c>
      <c r="N700" s="14">
        <v>0.14000000000000001</v>
      </c>
      <c r="O700" s="12">
        <v>120</v>
      </c>
      <c r="P700" s="12">
        <v>170</v>
      </c>
      <c r="Q700" s="12">
        <v>28</v>
      </c>
      <c r="R700" s="13" t="s">
        <v>75</v>
      </c>
      <c r="S700" s="13"/>
      <c r="T700" s="15">
        <v>2000</v>
      </c>
      <c r="U700" s="13" t="s">
        <v>44</v>
      </c>
      <c r="V700" s="13" t="s">
        <v>45</v>
      </c>
      <c r="W700" s="12">
        <v>10</v>
      </c>
      <c r="X700" s="33" t="str">
        <f>HYPERLINK("https://www.alpinabook.ru/catalog/book-uzhe-smeshno","ссылка на книгу")</f>
        <v>ссылка на книгу</v>
      </c>
      <c r="Y700" s="34" t="str">
        <f>HYPERLINK("https://api-enni.alpina.ru/FilePrivilegesApproval/822","https://api-enni.alpina.ru/FilePrivilegesApproval/822")</f>
        <v>https://api-enni.alpina.ru/FilePrivilegesApproval/822</v>
      </c>
      <c r="Z700" s="13" t="s">
        <v>295</v>
      </c>
      <c r="AT700" s="1">
        <f t="shared" si="98"/>
        <v>0</v>
      </c>
      <c r="AU700" s="1">
        <f t="shared" si="99"/>
        <v>0</v>
      </c>
      <c r="AV700" s="1">
        <f t="shared" si="100"/>
        <v>0</v>
      </c>
      <c r="AW700" s="1">
        <f t="shared" si="101"/>
        <v>0</v>
      </c>
      <c r="AX700" s="1">
        <f t="shared" si="102"/>
        <v>0</v>
      </c>
    </row>
    <row r="701" spans="1:50" s="1" customFormat="1" ht="24.95" customHeight="1" outlineLevel="3" x14ac:dyDescent="0.2">
      <c r="A701" s="11"/>
      <c r="B701" s="12">
        <v>790</v>
      </c>
      <c r="C701" s="12">
        <v>990</v>
      </c>
      <c r="D701" s="12">
        <v>17448</v>
      </c>
      <c r="E701" s="13" t="s">
        <v>2252</v>
      </c>
      <c r="F701" s="13" t="s">
        <v>2253</v>
      </c>
      <c r="G701" s="13" t="s">
        <v>86</v>
      </c>
      <c r="H701" s="13"/>
      <c r="I701" s="12">
        <v>2021</v>
      </c>
      <c r="J701" s="13" t="s">
        <v>2254</v>
      </c>
      <c r="K701" s="12">
        <v>9785001393689</v>
      </c>
      <c r="L701" s="13" t="s">
        <v>2255</v>
      </c>
      <c r="M701" s="12">
        <v>426</v>
      </c>
      <c r="N701" s="14">
        <v>0.6</v>
      </c>
      <c r="O701" s="12">
        <v>146</v>
      </c>
      <c r="P701" s="12">
        <v>216</v>
      </c>
      <c r="Q701" s="12">
        <v>8</v>
      </c>
      <c r="R701" s="13" t="s">
        <v>43</v>
      </c>
      <c r="S701" s="13"/>
      <c r="T701" s="15">
        <v>3000</v>
      </c>
      <c r="U701" s="13" t="s">
        <v>52</v>
      </c>
      <c r="V701" s="13" t="s">
        <v>59</v>
      </c>
      <c r="W701" s="12">
        <v>10</v>
      </c>
      <c r="X701" s="33" t="str">
        <f>HYPERLINK("https://www.alpinabook.ru/catalog/book-677676","ссылка на книгу")</f>
        <v>ссылка на книгу</v>
      </c>
      <c r="Y701" s="34" t="str">
        <f>HYPERLINK("https://api-enni.alpina.ru/FilePrivilegesApproval/226","https://api-enni.alpina.ru/FilePrivilegesApproval/226")</f>
        <v>https://api-enni.alpina.ru/FilePrivilegesApproval/226</v>
      </c>
      <c r="Z701" s="13"/>
      <c r="AT701" s="1">
        <f t="shared" si="98"/>
        <v>0</v>
      </c>
      <c r="AU701" s="1">
        <f t="shared" si="99"/>
        <v>0</v>
      </c>
      <c r="AV701" s="1">
        <f t="shared" si="100"/>
        <v>0</v>
      </c>
      <c r="AW701" s="1">
        <f t="shared" si="101"/>
        <v>0</v>
      </c>
      <c r="AX701" s="1">
        <f t="shared" si="102"/>
        <v>0</v>
      </c>
    </row>
    <row r="702" spans="1:50" s="1" customFormat="1" ht="24.95" customHeight="1" outlineLevel="3" x14ac:dyDescent="0.2">
      <c r="A702" s="11"/>
      <c r="B702" s="12">
        <v>690</v>
      </c>
      <c r="C702" s="12">
        <v>990</v>
      </c>
      <c r="D702" s="12">
        <v>26904</v>
      </c>
      <c r="E702" s="13" t="s">
        <v>2256</v>
      </c>
      <c r="F702" s="13" t="s">
        <v>2257</v>
      </c>
      <c r="G702" s="13" t="s">
        <v>86</v>
      </c>
      <c r="H702" s="13" t="s">
        <v>40</v>
      </c>
      <c r="I702" s="12">
        <v>2024</v>
      </c>
      <c r="J702" s="13" t="s">
        <v>2258</v>
      </c>
      <c r="K702" s="12">
        <v>9785001398509</v>
      </c>
      <c r="L702" s="13" t="s">
        <v>2259</v>
      </c>
      <c r="M702" s="12">
        <v>318</v>
      </c>
      <c r="N702" s="14">
        <v>0.33</v>
      </c>
      <c r="O702" s="12">
        <v>130</v>
      </c>
      <c r="P702" s="12">
        <v>200</v>
      </c>
      <c r="Q702" s="12">
        <v>14</v>
      </c>
      <c r="R702" s="13" t="s">
        <v>82</v>
      </c>
      <c r="S702" s="13"/>
      <c r="T702" s="15">
        <v>3000</v>
      </c>
      <c r="U702" s="13" t="s">
        <v>44</v>
      </c>
      <c r="V702" s="13" t="s">
        <v>45</v>
      </c>
      <c r="W702" s="12">
        <v>10</v>
      </c>
      <c r="X702" s="33" t="str">
        <f>HYPERLINK("https://www.alpinabook.ru/catalog/book-eto-ty-mne","ссылка на книгу")</f>
        <v>ссылка на книгу</v>
      </c>
      <c r="Y702" s="34" t="str">
        <f>HYPERLINK("https://api-enni.alpina.ru/FilePrivilegesApproval/344","https://api-enni.alpina.ru/FilePrivilegesApproval/344")</f>
        <v>https://api-enni.alpina.ru/FilePrivilegesApproval/344</v>
      </c>
      <c r="Z702" s="13"/>
      <c r="AT702" s="1">
        <f t="shared" si="98"/>
        <v>0</v>
      </c>
      <c r="AU702" s="1">
        <f t="shared" si="99"/>
        <v>0</v>
      </c>
      <c r="AV702" s="1">
        <f t="shared" si="100"/>
        <v>0</v>
      </c>
      <c r="AW702" s="1">
        <f t="shared" si="101"/>
        <v>0</v>
      </c>
      <c r="AX702" s="1">
        <f t="shared" si="102"/>
        <v>0</v>
      </c>
    </row>
    <row r="703" spans="1:50" ht="11.1" customHeight="1" outlineLevel="2" x14ac:dyDescent="0.2">
      <c r="A703" s="40" t="s">
        <v>2260</v>
      </c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20"/>
    </row>
    <row r="704" spans="1:50" s="1" customFormat="1" ht="24.95" customHeight="1" outlineLevel="3" x14ac:dyDescent="0.2">
      <c r="A704" s="11"/>
      <c r="B704" s="12">
        <v>340</v>
      </c>
      <c r="C704" s="12">
        <v>590</v>
      </c>
      <c r="D704" s="12">
        <v>12562</v>
      </c>
      <c r="E704" s="13" t="s">
        <v>2261</v>
      </c>
      <c r="F704" s="13" t="s">
        <v>2262</v>
      </c>
      <c r="G704" s="13" t="s">
        <v>86</v>
      </c>
      <c r="H704" s="13" t="s">
        <v>40</v>
      </c>
      <c r="I704" s="12">
        <v>2024</v>
      </c>
      <c r="J704" s="13" t="s">
        <v>2263</v>
      </c>
      <c r="K704" s="12">
        <v>9785001391265</v>
      </c>
      <c r="L704" s="13" t="s">
        <v>2264</v>
      </c>
      <c r="M704" s="12">
        <v>432</v>
      </c>
      <c r="N704" s="14">
        <v>0.28000000000000003</v>
      </c>
      <c r="O704" s="12">
        <v>115</v>
      </c>
      <c r="P704" s="12">
        <v>165</v>
      </c>
      <c r="Q704" s="12">
        <v>14</v>
      </c>
      <c r="R704" s="13" t="s">
        <v>75</v>
      </c>
      <c r="S704" s="13" t="s">
        <v>160</v>
      </c>
      <c r="T704" s="15">
        <v>2000</v>
      </c>
      <c r="U704" s="13" t="s">
        <v>44</v>
      </c>
      <c r="V704" s="13" t="s">
        <v>59</v>
      </c>
      <c r="W704" s="12">
        <v>10</v>
      </c>
      <c r="X704" s="33" t="str">
        <f>HYPERLINK("https://www.alpinabook.ru/catalog/book-vosem-komediynykh-kharakterov","ссылка на книгу")</f>
        <v>ссылка на книгу</v>
      </c>
      <c r="Y704" s="34" t="str">
        <f>HYPERLINK("https://api-enni.alpina.ru/FilePrivilegesApproval/217","https://api-enni.alpina.ru/FilePrivilegesApproval/217")</f>
        <v>https://api-enni.alpina.ru/FilePrivilegesApproval/217</v>
      </c>
      <c r="Z704" s="13"/>
      <c r="AT704" s="1">
        <f t="shared" ref="AT704:AT710" si="103">IF($A704&lt;&gt;0,1,0)</f>
        <v>0</v>
      </c>
      <c r="AU704" s="1">
        <f t="shared" ref="AU704:AU710" si="104">$A704*$B704</f>
        <v>0</v>
      </c>
      <c r="AV704" s="1">
        <f t="shared" ref="AV704:AV710" si="105">$A704*$N704</f>
        <v>0</v>
      </c>
      <c r="AW704" s="1">
        <f t="shared" ref="AW704:AW710" si="106">IF($Q704=0,0,INT($A704/$Q704))</f>
        <v>0</v>
      </c>
      <c r="AX704" s="1">
        <f t="shared" ref="AX704:AX710" si="107">$A704-$AW704*$Q704</f>
        <v>0</v>
      </c>
    </row>
    <row r="705" spans="1:50" s="1" customFormat="1" ht="24.95" customHeight="1" outlineLevel="3" x14ac:dyDescent="0.2">
      <c r="A705" s="11"/>
      <c r="B705" s="12">
        <v>390</v>
      </c>
      <c r="C705" s="12">
        <v>640</v>
      </c>
      <c r="D705" s="12">
        <v>12754</v>
      </c>
      <c r="E705" s="13" t="s">
        <v>156</v>
      </c>
      <c r="F705" s="13" t="s">
        <v>2265</v>
      </c>
      <c r="G705" s="13" t="s">
        <v>86</v>
      </c>
      <c r="H705" s="13" t="s">
        <v>40</v>
      </c>
      <c r="I705" s="12">
        <v>2024</v>
      </c>
      <c r="J705" s="13" t="s">
        <v>2266</v>
      </c>
      <c r="K705" s="12">
        <v>9785001391456</v>
      </c>
      <c r="L705" s="13" t="s">
        <v>2267</v>
      </c>
      <c r="M705" s="12">
        <v>436</v>
      </c>
      <c r="N705" s="14">
        <v>0.28000000000000003</v>
      </c>
      <c r="O705" s="12">
        <v>115</v>
      </c>
      <c r="P705" s="12">
        <v>165</v>
      </c>
      <c r="Q705" s="12">
        <v>14</v>
      </c>
      <c r="R705" s="13" t="s">
        <v>75</v>
      </c>
      <c r="S705" s="13" t="s">
        <v>160</v>
      </c>
      <c r="T705" s="15">
        <v>4000</v>
      </c>
      <c r="U705" s="13" t="s">
        <v>44</v>
      </c>
      <c r="V705" s="13" t="s">
        <v>59</v>
      </c>
      <c r="W705" s="12">
        <v>10</v>
      </c>
      <c r="X705" s="33" t="str">
        <f>HYPERLINK("https://www.alpinabook.ru/catalog/book-dialog","ссылка на книгу")</f>
        <v>ссылка на книгу</v>
      </c>
      <c r="Y705" s="34" t="str">
        <f>HYPERLINK("https://api-enni.alpina.ru/FilePrivilegesApproval/131","https://api-enni.alpina.ru/FilePrivilegesApproval/131")</f>
        <v>https://api-enni.alpina.ru/FilePrivilegesApproval/131</v>
      </c>
      <c r="Z705" s="13"/>
      <c r="AT705" s="1">
        <f t="shared" si="103"/>
        <v>0</v>
      </c>
      <c r="AU705" s="1">
        <f t="shared" si="104"/>
        <v>0</v>
      </c>
      <c r="AV705" s="1">
        <f t="shared" si="105"/>
        <v>0</v>
      </c>
      <c r="AW705" s="1">
        <f t="shared" si="106"/>
        <v>0</v>
      </c>
      <c r="AX705" s="1">
        <f t="shared" si="107"/>
        <v>0</v>
      </c>
    </row>
    <row r="706" spans="1:50" s="1" customFormat="1" ht="24.95" customHeight="1" outlineLevel="3" x14ac:dyDescent="0.2">
      <c r="A706" s="11"/>
      <c r="B706" s="12">
        <v>590</v>
      </c>
      <c r="C706" s="12">
        <v>890</v>
      </c>
      <c r="D706" s="12">
        <v>12600</v>
      </c>
      <c r="E706" s="13" t="s">
        <v>2268</v>
      </c>
      <c r="F706" s="13" t="s">
        <v>2269</v>
      </c>
      <c r="G706" s="13" t="s">
        <v>97</v>
      </c>
      <c r="H706" s="13" t="s">
        <v>40</v>
      </c>
      <c r="I706" s="12">
        <v>2024</v>
      </c>
      <c r="J706" s="13" t="s">
        <v>2270</v>
      </c>
      <c r="K706" s="12">
        <v>9785907394971</v>
      </c>
      <c r="L706" s="13" t="s">
        <v>2271</v>
      </c>
      <c r="M706" s="12">
        <v>621</v>
      </c>
      <c r="N706" s="14">
        <v>0.4</v>
      </c>
      <c r="O706" s="12">
        <v>115</v>
      </c>
      <c r="P706" s="12">
        <v>165</v>
      </c>
      <c r="Q706" s="12">
        <v>20</v>
      </c>
      <c r="R706" s="13" t="s">
        <v>75</v>
      </c>
      <c r="S706" s="13" t="s">
        <v>160</v>
      </c>
      <c r="T706" s="15">
        <v>2000</v>
      </c>
      <c r="U706" s="13" t="s">
        <v>44</v>
      </c>
      <c r="V706" s="13" t="s">
        <v>45</v>
      </c>
      <c r="W706" s="12">
        <v>10</v>
      </c>
      <c r="X706" s="33" t="str">
        <f>HYPERLINK("https://www.alpinabook.ru/catalog/book-kak-rabotayut-nad-stsenariem","ссылка на книгу")</f>
        <v>ссылка на книгу</v>
      </c>
      <c r="Y706" s="34" t="str">
        <f>HYPERLINK("https://api-enni.alpina.ru/FilePrivilegesApproval/402","https://api-enni.alpina.ru/FilePrivilegesApproval/402")</f>
        <v>https://api-enni.alpina.ru/FilePrivilegesApproval/402</v>
      </c>
      <c r="Z706" s="13" t="s">
        <v>1431</v>
      </c>
      <c r="AT706" s="1">
        <f t="shared" si="103"/>
        <v>0</v>
      </c>
      <c r="AU706" s="1">
        <f t="shared" si="104"/>
        <v>0</v>
      </c>
      <c r="AV706" s="1">
        <f t="shared" si="105"/>
        <v>0</v>
      </c>
      <c r="AW706" s="1">
        <f t="shared" si="106"/>
        <v>0</v>
      </c>
      <c r="AX706" s="1">
        <f t="shared" si="107"/>
        <v>0</v>
      </c>
    </row>
    <row r="707" spans="1:50" s="1" customFormat="1" ht="24.95" customHeight="1" outlineLevel="3" x14ac:dyDescent="0.2">
      <c r="A707" s="11"/>
      <c r="B707" s="12">
        <v>390</v>
      </c>
      <c r="C707" s="12">
        <v>640</v>
      </c>
      <c r="D707" s="12">
        <v>17106</v>
      </c>
      <c r="E707" s="13" t="s">
        <v>2272</v>
      </c>
      <c r="F707" s="13" t="s">
        <v>2273</v>
      </c>
      <c r="G707" s="13" t="s">
        <v>86</v>
      </c>
      <c r="H707" s="13"/>
      <c r="I707" s="12">
        <v>2024</v>
      </c>
      <c r="J707" s="13" t="s">
        <v>2274</v>
      </c>
      <c r="K707" s="12">
        <v>9785001391746</v>
      </c>
      <c r="L707" s="13" t="s">
        <v>2275</v>
      </c>
      <c r="M707" s="12">
        <v>464</v>
      </c>
      <c r="N707" s="14">
        <v>0.3</v>
      </c>
      <c r="O707" s="12">
        <v>115</v>
      </c>
      <c r="P707" s="12">
        <v>165</v>
      </c>
      <c r="Q707" s="12">
        <v>14</v>
      </c>
      <c r="R707" s="13" t="s">
        <v>75</v>
      </c>
      <c r="S707" s="13" t="s">
        <v>160</v>
      </c>
      <c r="T707" s="15">
        <v>2000</v>
      </c>
      <c r="U707" s="13" t="s">
        <v>44</v>
      </c>
      <c r="V707" s="13" t="s">
        <v>45</v>
      </c>
      <c r="W707" s="12">
        <v>10</v>
      </c>
      <c r="X707" s="33" t="str">
        <f>HYPERLINK("https://www.alpinabook.ru/catalog/book-mif-i-zhizn-v-kino","ссылка на книгу")</f>
        <v>ссылка на книгу</v>
      </c>
      <c r="Y707" s="34" t="str">
        <f>HYPERLINK("https://api-enni.alpina.ru/FilePrivilegesApproval/260","https://api-enni.alpina.ru/FilePrivilegesApproval/260")</f>
        <v>https://api-enni.alpina.ru/FilePrivilegesApproval/260</v>
      </c>
      <c r="Z707" s="13"/>
      <c r="AT707" s="1">
        <f t="shared" si="103"/>
        <v>0</v>
      </c>
      <c r="AU707" s="1">
        <f t="shared" si="104"/>
        <v>0</v>
      </c>
      <c r="AV707" s="1">
        <f t="shared" si="105"/>
        <v>0</v>
      </c>
      <c r="AW707" s="1">
        <f t="shared" si="106"/>
        <v>0</v>
      </c>
      <c r="AX707" s="1">
        <f t="shared" si="107"/>
        <v>0</v>
      </c>
    </row>
    <row r="708" spans="1:50" s="1" customFormat="1" ht="24.95" customHeight="1" outlineLevel="3" x14ac:dyDescent="0.2">
      <c r="A708" s="11"/>
      <c r="B708" s="12">
        <v>340</v>
      </c>
      <c r="C708" s="12">
        <v>540</v>
      </c>
      <c r="D708" s="12">
        <v>12468</v>
      </c>
      <c r="E708" s="13" t="s">
        <v>2276</v>
      </c>
      <c r="F708" s="13" t="s">
        <v>2277</v>
      </c>
      <c r="G708" s="13" t="s">
        <v>56</v>
      </c>
      <c r="H708" s="13" t="s">
        <v>40</v>
      </c>
      <c r="I708" s="12">
        <v>2024</v>
      </c>
      <c r="J708" s="13" t="s">
        <v>2278</v>
      </c>
      <c r="K708" s="12">
        <v>9785961425536</v>
      </c>
      <c r="L708" s="13" t="s">
        <v>2279</v>
      </c>
      <c r="M708" s="12">
        <v>364</v>
      </c>
      <c r="N708" s="14">
        <v>0.24</v>
      </c>
      <c r="O708" s="12">
        <v>120</v>
      </c>
      <c r="P708" s="12">
        <v>170</v>
      </c>
      <c r="Q708" s="12">
        <v>8</v>
      </c>
      <c r="R708" s="13" t="s">
        <v>75</v>
      </c>
      <c r="S708" s="13" t="s">
        <v>160</v>
      </c>
      <c r="T708" s="15">
        <v>4000</v>
      </c>
      <c r="U708" s="13" t="s">
        <v>44</v>
      </c>
      <c r="V708" s="13" t="s">
        <v>64</v>
      </c>
      <c r="W708" s="12">
        <v>10</v>
      </c>
      <c r="X708" s="33" t="str">
        <f>HYPERLINK("https://www.alpinabook.ru/catalog/book-s-pervoy-frazy","ссылка на книгу")</f>
        <v>ссылка на книгу</v>
      </c>
      <c r="Y708" s="34" t="str">
        <f>HYPERLINK("https://api-enni.alpina.ru/FilePrivilegesApproval/124","https://api-enni.alpina.ru/FilePrivilegesApproval/124")</f>
        <v>https://api-enni.alpina.ru/FilePrivilegesApproval/124</v>
      </c>
      <c r="Z708" s="13"/>
      <c r="AT708" s="1">
        <f t="shared" si="103"/>
        <v>0</v>
      </c>
      <c r="AU708" s="1">
        <f t="shared" si="104"/>
        <v>0</v>
      </c>
      <c r="AV708" s="1">
        <f t="shared" si="105"/>
        <v>0</v>
      </c>
      <c r="AW708" s="1">
        <f t="shared" si="106"/>
        <v>0</v>
      </c>
      <c r="AX708" s="1">
        <f t="shared" si="107"/>
        <v>0</v>
      </c>
    </row>
    <row r="709" spans="1:50" s="1" customFormat="1" ht="24.95" customHeight="1" outlineLevel="3" x14ac:dyDescent="0.2">
      <c r="A709" s="11"/>
      <c r="B709" s="12">
        <v>290</v>
      </c>
      <c r="C709" s="12">
        <v>540</v>
      </c>
      <c r="D709" s="12">
        <v>12710</v>
      </c>
      <c r="E709" s="13" t="s">
        <v>2280</v>
      </c>
      <c r="F709" s="13" t="s">
        <v>2281</v>
      </c>
      <c r="G709" s="13" t="s">
        <v>86</v>
      </c>
      <c r="H709" s="13" t="s">
        <v>40</v>
      </c>
      <c r="I709" s="12">
        <v>2022</v>
      </c>
      <c r="J709" s="13" t="s">
        <v>2282</v>
      </c>
      <c r="K709" s="12">
        <v>9785001391395</v>
      </c>
      <c r="L709" s="13" t="s">
        <v>2283</v>
      </c>
      <c r="M709" s="12">
        <v>220</v>
      </c>
      <c r="N709" s="14">
        <v>0.15</v>
      </c>
      <c r="O709" s="12">
        <v>115</v>
      </c>
      <c r="P709" s="12">
        <v>165</v>
      </c>
      <c r="Q709" s="12">
        <v>24</v>
      </c>
      <c r="R709" s="13" t="s">
        <v>75</v>
      </c>
      <c r="S709" s="13" t="s">
        <v>160</v>
      </c>
      <c r="T709" s="15">
        <v>7000</v>
      </c>
      <c r="U709" s="13" t="s">
        <v>44</v>
      </c>
      <c r="V709" s="13" t="s">
        <v>59</v>
      </c>
      <c r="W709" s="12">
        <v>10</v>
      </c>
      <c r="X709" s="33" t="str">
        <f>HYPERLINK("https://www.alpinabook.ru/catalog/book-skrytyy-smysl","ссылка на книгу")</f>
        <v>ссылка на книгу</v>
      </c>
      <c r="Y709" s="34" t="str">
        <f>HYPERLINK("https://api-enni.alpina.ru/FilePrivilegesApproval/131","https://api-enni.alpina.ru/FilePrivilegesApproval/131")</f>
        <v>https://api-enni.alpina.ru/FilePrivilegesApproval/131</v>
      </c>
      <c r="Z709" s="13"/>
      <c r="AT709" s="1">
        <f t="shared" si="103"/>
        <v>0</v>
      </c>
      <c r="AU709" s="1">
        <f t="shared" si="104"/>
        <v>0</v>
      </c>
      <c r="AV709" s="1">
        <f t="shared" si="105"/>
        <v>0</v>
      </c>
      <c r="AW709" s="1">
        <f t="shared" si="106"/>
        <v>0</v>
      </c>
      <c r="AX709" s="1">
        <f t="shared" si="107"/>
        <v>0</v>
      </c>
    </row>
    <row r="710" spans="1:50" s="1" customFormat="1" ht="24.95" customHeight="1" outlineLevel="3" x14ac:dyDescent="0.2">
      <c r="A710" s="11"/>
      <c r="B710" s="12">
        <v>340</v>
      </c>
      <c r="C710" s="12">
        <v>690</v>
      </c>
      <c r="D710" s="12">
        <v>12695</v>
      </c>
      <c r="E710" s="13" t="s">
        <v>2284</v>
      </c>
      <c r="F710" s="13" t="s">
        <v>2285</v>
      </c>
      <c r="G710" s="13" t="s">
        <v>86</v>
      </c>
      <c r="H710" s="13" t="s">
        <v>40</v>
      </c>
      <c r="I710" s="12">
        <v>2024</v>
      </c>
      <c r="J710" s="13" t="s">
        <v>2286</v>
      </c>
      <c r="K710" s="12">
        <v>9785001391388</v>
      </c>
      <c r="L710" s="13" t="s">
        <v>2287</v>
      </c>
      <c r="M710" s="12">
        <v>408</v>
      </c>
      <c r="N710" s="14">
        <v>0.27</v>
      </c>
      <c r="O710" s="12">
        <v>115</v>
      </c>
      <c r="P710" s="12">
        <v>165</v>
      </c>
      <c r="Q710" s="12">
        <v>8</v>
      </c>
      <c r="R710" s="13" t="s">
        <v>75</v>
      </c>
      <c r="S710" s="13" t="s">
        <v>160</v>
      </c>
      <c r="T710" s="15">
        <v>4000</v>
      </c>
      <c r="U710" s="13" t="s">
        <v>44</v>
      </c>
      <c r="V710" s="13" t="s">
        <v>59</v>
      </c>
      <c r="W710" s="12">
        <v>10</v>
      </c>
      <c r="X710" s="33" t="str">
        <f>HYPERLINK("https://www.alpinabook.ru/catalog/book-shkola-literaturnogo-i-stsenarnogo-masterstva","ссылка на книгу")</f>
        <v>ссылка на книгу</v>
      </c>
      <c r="Y710" s="34" t="str">
        <f>HYPERLINK("https://api-enni.alpina.ru/FilePrivilegesApproval/127","https://api-enni.alpina.ru/FilePrivilegesApproval/127")</f>
        <v>https://api-enni.alpina.ru/FilePrivilegesApproval/127</v>
      </c>
      <c r="Z710" s="13"/>
      <c r="AT710" s="1">
        <f t="shared" si="103"/>
        <v>0</v>
      </c>
      <c r="AU710" s="1">
        <f t="shared" si="104"/>
        <v>0</v>
      </c>
      <c r="AV710" s="1">
        <f t="shared" si="105"/>
        <v>0</v>
      </c>
      <c r="AW710" s="1">
        <f t="shared" si="106"/>
        <v>0</v>
      </c>
      <c r="AX710" s="1">
        <f t="shared" si="107"/>
        <v>0</v>
      </c>
    </row>
    <row r="711" spans="1:50" ht="15" customHeight="1" outlineLevel="1" x14ac:dyDescent="0.2">
      <c r="A711" s="39" t="s">
        <v>2288</v>
      </c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19"/>
    </row>
    <row r="712" spans="1:50" ht="11.1" customHeight="1" outlineLevel="2" x14ac:dyDescent="0.2">
      <c r="A712" s="40" t="s">
        <v>2289</v>
      </c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20"/>
    </row>
    <row r="713" spans="1:50" s="1" customFormat="1" ht="24.95" customHeight="1" outlineLevel="3" x14ac:dyDescent="0.2">
      <c r="A713" s="21"/>
      <c r="B713" s="25">
        <v>2290</v>
      </c>
      <c r="C713" s="25">
        <v>2790</v>
      </c>
      <c r="D713" s="22">
        <v>11160</v>
      </c>
      <c r="E713" s="23" t="s">
        <v>2290</v>
      </c>
      <c r="F713" s="23" t="s">
        <v>2291</v>
      </c>
      <c r="G713" s="23" t="s">
        <v>86</v>
      </c>
      <c r="H713" s="23"/>
      <c r="I713" s="22">
        <v>2025</v>
      </c>
      <c r="J713" s="23" t="s">
        <v>2292</v>
      </c>
      <c r="K713" s="22">
        <v>9785001390763</v>
      </c>
      <c r="L713" s="23" t="s">
        <v>2293</v>
      </c>
      <c r="M713" s="25">
        <v>1504</v>
      </c>
      <c r="N713" s="24">
        <v>1.98</v>
      </c>
      <c r="O713" s="22">
        <v>170</v>
      </c>
      <c r="P713" s="22">
        <v>220</v>
      </c>
      <c r="Q713" s="22">
        <v>2</v>
      </c>
      <c r="R713" s="23" t="s">
        <v>100</v>
      </c>
      <c r="S713" s="23"/>
      <c r="T713" s="25">
        <v>3000</v>
      </c>
      <c r="U713" s="23" t="s">
        <v>268</v>
      </c>
      <c r="V713" s="23" t="s">
        <v>89</v>
      </c>
      <c r="W713" s="22">
        <v>10</v>
      </c>
      <c r="X713" s="35" t="str">
        <f>HYPERLINK("https://www.alpinabook.ru/catalog/book-polka","ссылка на книгу")</f>
        <v>ссылка на книгу</v>
      </c>
      <c r="Y713" s="36" t="str">
        <f>HYPERLINK("https://api-enni.alpina.ru/FilePrivilegesApproval/217","https://api-enni.alpina.ru/FilePrivilegesApproval/217")</f>
        <v>https://api-enni.alpina.ru/FilePrivilegesApproval/217</v>
      </c>
      <c r="Z713" s="23" t="s">
        <v>132</v>
      </c>
      <c r="AT713" s="1">
        <f t="shared" ref="AT713:AT744" si="108">IF($A713&lt;&gt;0,1,0)</f>
        <v>0</v>
      </c>
      <c r="AU713" s="1">
        <f t="shared" ref="AU713:AU744" si="109">$A713*$B713</f>
        <v>0</v>
      </c>
      <c r="AV713" s="1">
        <f t="shared" ref="AV713:AV744" si="110">$A713*$N713</f>
        <v>0</v>
      </c>
      <c r="AW713" s="1">
        <f t="shared" ref="AW713:AW744" si="111">IF($Q713=0,0,INT($A713/$Q713))</f>
        <v>0</v>
      </c>
      <c r="AX713" s="1">
        <f t="shared" ref="AX713:AX744" si="112">$A713-$AW713*$Q713</f>
        <v>0</v>
      </c>
    </row>
    <row r="714" spans="1:50" s="1" customFormat="1" ht="24.95" customHeight="1" outlineLevel="3" x14ac:dyDescent="0.2">
      <c r="A714" s="21"/>
      <c r="B714" s="25">
        <v>2290</v>
      </c>
      <c r="C714" s="25">
        <v>2790</v>
      </c>
      <c r="D714" s="22">
        <v>26691</v>
      </c>
      <c r="E714" s="23" t="s">
        <v>2290</v>
      </c>
      <c r="F714" s="23" t="s">
        <v>2294</v>
      </c>
      <c r="G714" s="23" t="s">
        <v>86</v>
      </c>
      <c r="H714" s="23"/>
      <c r="I714" s="22">
        <v>2025</v>
      </c>
      <c r="J714" s="23" t="s">
        <v>2295</v>
      </c>
      <c r="K714" s="22">
        <v>9785001398226</v>
      </c>
      <c r="L714" s="23" t="s">
        <v>2296</v>
      </c>
      <c r="M714" s="25">
        <v>1184</v>
      </c>
      <c r="N714" s="24">
        <v>1.62</v>
      </c>
      <c r="O714" s="22">
        <v>170</v>
      </c>
      <c r="P714" s="22">
        <v>220</v>
      </c>
      <c r="Q714" s="22">
        <v>2</v>
      </c>
      <c r="R714" s="23" t="s">
        <v>100</v>
      </c>
      <c r="S714" s="23"/>
      <c r="T714" s="25">
        <v>2000</v>
      </c>
      <c r="U714" s="23" t="s">
        <v>268</v>
      </c>
      <c r="V714" s="23" t="s">
        <v>89</v>
      </c>
      <c r="W714" s="22">
        <v>10</v>
      </c>
      <c r="X714" s="35" t="str">
        <f>HYPERLINK("https://www.alpinabook.ru/catalog/book-polka-toma-iii-iv","ссылка на книгу")</f>
        <v>ссылка на книгу</v>
      </c>
      <c r="Y714" s="36" t="str">
        <f>HYPERLINK("https://api-enni.alpina.ru/FilePrivilegesApproval/171","https://api-enni.alpina.ru/FilePrivilegesApproval/171")</f>
        <v>https://api-enni.alpina.ru/FilePrivilegesApproval/171</v>
      </c>
      <c r="Z714" s="23" t="s">
        <v>151</v>
      </c>
      <c r="AT714" s="1">
        <f t="shared" si="108"/>
        <v>0</v>
      </c>
      <c r="AU714" s="1">
        <f t="shared" si="109"/>
        <v>0</v>
      </c>
      <c r="AV714" s="1">
        <f t="shared" si="110"/>
        <v>0</v>
      </c>
      <c r="AW714" s="1">
        <f t="shared" si="111"/>
        <v>0</v>
      </c>
      <c r="AX714" s="1">
        <f t="shared" si="112"/>
        <v>0</v>
      </c>
    </row>
    <row r="715" spans="1:50" s="1" customFormat="1" ht="24.95" customHeight="1" outlineLevel="3" x14ac:dyDescent="0.2">
      <c r="A715" s="21"/>
      <c r="B715" s="22">
        <v>890</v>
      </c>
      <c r="C715" s="25">
        <v>1290</v>
      </c>
      <c r="D715" s="22">
        <v>5607</v>
      </c>
      <c r="E715" s="23" t="s">
        <v>2297</v>
      </c>
      <c r="F715" s="23" t="s">
        <v>2298</v>
      </c>
      <c r="G715" s="23" t="s">
        <v>86</v>
      </c>
      <c r="H715" s="23" t="s">
        <v>40</v>
      </c>
      <c r="I715" s="22">
        <v>2025</v>
      </c>
      <c r="J715" s="23" t="s">
        <v>2299</v>
      </c>
      <c r="K715" s="22">
        <v>9785001390114</v>
      </c>
      <c r="L715" s="23" t="s">
        <v>2300</v>
      </c>
      <c r="M715" s="22">
        <v>696</v>
      </c>
      <c r="N715" s="24">
        <v>0.77</v>
      </c>
      <c r="O715" s="22">
        <v>146</v>
      </c>
      <c r="P715" s="22">
        <v>216</v>
      </c>
      <c r="Q715" s="22">
        <v>4</v>
      </c>
      <c r="R715" s="23" t="s">
        <v>43</v>
      </c>
      <c r="S715" s="23"/>
      <c r="T715" s="25">
        <v>4000</v>
      </c>
      <c r="U715" s="23" t="s">
        <v>52</v>
      </c>
      <c r="V715" s="23" t="s">
        <v>45</v>
      </c>
      <c r="W715" s="22">
        <v>10</v>
      </c>
      <c r="X715" s="35" t="str">
        <f>HYPERLINK("https://www.alpinabook.ru/catalog/book-spqr","ссылка на книгу")</f>
        <v>ссылка на книгу</v>
      </c>
      <c r="Y715" s="36" t="str">
        <f>HYPERLINK("https://api-enni.alpina.ru/FilePrivilegesApproval/146","https://api-enni.alpina.ru/FilePrivilegesApproval/146")</f>
        <v>https://api-enni.alpina.ru/FilePrivilegesApproval/146</v>
      </c>
      <c r="Z715" s="23"/>
      <c r="AT715" s="1">
        <f t="shared" si="108"/>
        <v>0</v>
      </c>
      <c r="AU715" s="1">
        <f t="shared" si="109"/>
        <v>0</v>
      </c>
      <c r="AV715" s="1">
        <f t="shared" si="110"/>
        <v>0</v>
      </c>
      <c r="AW715" s="1">
        <f t="shared" si="111"/>
        <v>0</v>
      </c>
      <c r="AX715" s="1">
        <f t="shared" si="112"/>
        <v>0</v>
      </c>
    </row>
    <row r="716" spans="1:50" s="1" customFormat="1" ht="24.95" customHeight="1" outlineLevel="3" x14ac:dyDescent="0.2">
      <c r="A716" s="21"/>
      <c r="B716" s="25">
        <v>2390</v>
      </c>
      <c r="C716" s="25">
        <v>2390</v>
      </c>
      <c r="D716" s="22">
        <v>23987</v>
      </c>
      <c r="E716" s="23" t="s">
        <v>2301</v>
      </c>
      <c r="F716" s="23" t="s">
        <v>2302</v>
      </c>
      <c r="G716" s="23" t="s">
        <v>97</v>
      </c>
      <c r="H716" s="23" t="s">
        <v>40</v>
      </c>
      <c r="I716" s="22">
        <v>2022</v>
      </c>
      <c r="J716" s="23" t="s">
        <v>2303</v>
      </c>
      <c r="K716" s="22">
        <v>9785206000238</v>
      </c>
      <c r="L716" s="23" t="s">
        <v>2304</v>
      </c>
      <c r="M716" s="22">
        <v>216</v>
      </c>
      <c r="N716" s="24">
        <v>0.5</v>
      </c>
      <c r="O716" s="22">
        <v>202</v>
      </c>
      <c r="P716" s="22">
        <v>266</v>
      </c>
      <c r="Q716" s="22">
        <v>1</v>
      </c>
      <c r="R716" s="23" t="s">
        <v>300</v>
      </c>
      <c r="S716" s="23"/>
      <c r="T716" s="25">
        <v>1500</v>
      </c>
      <c r="U716" s="23" t="s">
        <v>52</v>
      </c>
      <c r="V716" s="23" t="s">
        <v>59</v>
      </c>
      <c r="W716" s="22">
        <v>10</v>
      </c>
      <c r="X716" s="35" t="str">
        <f>HYPERLINK("https://www.alpinabook.ru/catalog/book-atlas-nevidimogo","ссылка на книгу")</f>
        <v>ссылка на книгу</v>
      </c>
      <c r="Y716" s="36" t="str">
        <f>HYPERLINK("https://api-enni.alpina.ru/FilePrivilegesApproval/170","https://api-enni.alpina.ru/FilePrivilegesApproval/170")</f>
        <v>https://api-enni.alpina.ru/FilePrivilegesApproval/170</v>
      </c>
      <c r="Z716" s="23"/>
      <c r="AT716" s="1">
        <f t="shared" si="108"/>
        <v>0</v>
      </c>
      <c r="AU716" s="1">
        <f t="shared" si="109"/>
        <v>0</v>
      </c>
      <c r="AV716" s="1">
        <f t="shared" si="110"/>
        <v>0</v>
      </c>
      <c r="AW716" s="1">
        <f t="shared" si="111"/>
        <v>0</v>
      </c>
      <c r="AX716" s="1">
        <f t="shared" si="112"/>
        <v>0</v>
      </c>
    </row>
    <row r="717" spans="1:50" s="1" customFormat="1" ht="24.95" customHeight="1" outlineLevel="3" x14ac:dyDescent="0.2">
      <c r="A717" s="21"/>
      <c r="B717" s="25">
        <v>1690</v>
      </c>
      <c r="C717" s="25">
        <v>2190</v>
      </c>
      <c r="D717" s="22">
        <v>7806</v>
      </c>
      <c r="E717" s="23" t="s">
        <v>296</v>
      </c>
      <c r="F717" s="23" t="s">
        <v>297</v>
      </c>
      <c r="G717" s="23" t="s">
        <v>86</v>
      </c>
      <c r="H717" s="23"/>
      <c r="I717" s="22">
        <v>2025</v>
      </c>
      <c r="J717" s="23" t="s">
        <v>298</v>
      </c>
      <c r="K717" s="22">
        <v>9785916719185</v>
      </c>
      <c r="L717" s="23" t="s">
        <v>299</v>
      </c>
      <c r="M717" s="22">
        <v>455</v>
      </c>
      <c r="N717" s="24">
        <v>1.2</v>
      </c>
      <c r="O717" s="22">
        <v>200</v>
      </c>
      <c r="P717" s="22">
        <v>240</v>
      </c>
      <c r="Q717" s="22">
        <v>4</v>
      </c>
      <c r="R717" s="23" t="s">
        <v>300</v>
      </c>
      <c r="S717" s="23"/>
      <c r="T717" s="25">
        <v>2000</v>
      </c>
      <c r="U717" s="23" t="s">
        <v>52</v>
      </c>
      <c r="V717" s="23" t="s">
        <v>59</v>
      </c>
      <c r="W717" s="22">
        <v>10</v>
      </c>
      <c r="X717" s="35" t="str">
        <f>HYPERLINK("https://www.alpinabook.ru/catalog/book-bayki-iz-grota","ссылка на книгу")</f>
        <v>ссылка на книгу</v>
      </c>
      <c r="Y717" s="36" t="str">
        <f>HYPERLINK("https://api-enni.alpina.ru/FilePrivilegesApproval/149","https://api-enni.alpina.ru/FilePrivilegesApproval/149")</f>
        <v>https://api-enni.alpina.ru/FilePrivilegesApproval/149</v>
      </c>
      <c r="Z717" s="23" t="s">
        <v>77</v>
      </c>
      <c r="AT717" s="1">
        <f t="shared" si="108"/>
        <v>0</v>
      </c>
      <c r="AU717" s="1">
        <f t="shared" si="109"/>
        <v>0</v>
      </c>
      <c r="AV717" s="1">
        <f t="shared" si="110"/>
        <v>0</v>
      </c>
      <c r="AW717" s="1">
        <f t="shared" si="111"/>
        <v>0</v>
      </c>
      <c r="AX717" s="1">
        <f t="shared" si="112"/>
        <v>0</v>
      </c>
    </row>
    <row r="718" spans="1:50" s="1" customFormat="1" ht="24.95" customHeight="1" outlineLevel="3" x14ac:dyDescent="0.2">
      <c r="A718" s="21"/>
      <c r="B718" s="25">
        <v>1140</v>
      </c>
      <c r="C718" s="25">
        <v>1590</v>
      </c>
      <c r="D718" s="22">
        <v>26404</v>
      </c>
      <c r="E718" s="23" t="s">
        <v>317</v>
      </c>
      <c r="F718" s="23" t="s">
        <v>2305</v>
      </c>
      <c r="G718" s="23" t="s">
        <v>86</v>
      </c>
      <c r="H718" s="23" t="s">
        <v>40</v>
      </c>
      <c r="I718" s="22">
        <v>2025</v>
      </c>
      <c r="J718" s="23" t="s">
        <v>2306</v>
      </c>
      <c r="K718" s="22">
        <v>9785001397656</v>
      </c>
      <c r="L718" s="23" t="s">
        <v>2307</v>
      </c>
      <c r="M718" s="22">
        <v>780</v>
      </c>
      <c r="N718" s="24">
        <v>1.02</v>
      </c>
      <c r="O718" s="22">
        <v>170</v>
      </c>
      <c r="P718" s="22">
        <v>240</v>
      </c>
      <c r="Q718" s="22">
        <v>4</v>
      </c>
      <c r="R718" s="23" t="s">
        <v>94</v>
      </c>
      <c r="S718" s="23"/>
      <c r="T718" s="25">
        <v>3000</v>
      </c>
      <c r="U718" s="23" t="s">
        <v>44</v>
      </c>
      <c r="V718" s="23" t="s">
        <v>45</v>
      </c>
      <c r="W718" s="22">
        <v>10</v>
      </c>
      <c r="X718" s="35" t="str">
        <f>HYPERLINK("https://www.alpinabook.ru/catalog/book-biologiya-dobra-i-zla","ссылка на книгу")</f>
        <v>ссылка на книгу</v>
      </c>
      <c r="Y718" s="36" t="str">
        <f>HYPERLINK("https://api-enni.alpina.ru/FilePrivilegesApproval/131","https://api-enni.alpina.ru/FilePrivilegesApproval/131")</f>
        <v>https://api-enni.alpina.ru/FilePrivilegesApproval/131</v>
      </c>
      <c r="Z718" s="23" t="s">
        <v>2138</v>
      </c>
      <c r="AT718" s="1">
        <f t="shared" si="108"/>
        <v>0</v>
      </c>
      <c r="AU718" s="1">
        <f t="shared" si="109"/>
        <v>0</v>
      </c>
      <c r="AV718" s="1">
        <f t="shared" si="110"/>
        <v>0</v>
      </c>
      <c r="AW718" s="1">
        <f t="shared" si="111"/>
        <v>0</v>
      </c>
      <c r="AX718" s="1">
        <f t="shared" si="112"/>
        <v>0</v>
      </c>
    </row>
    <row r="719" spans="1:50" s="1" customFormat="1" ht="24.95" customHeight="1" outlineLevel="3" x14ac:dyDescent="0.2">
      <c r="A719" s="21"/>
      <c r="B719" s="25">
        <v>1290</v>
      </c>
      <c r="C719" s="25">
        <v>1790</v>
      </c>
      <c r="D719" s="22">
        <v>7091</v>
      </c>
      <c r="E719" s="23" t="s">
        <v>317</v>
      </c>
      <c r="F719" s="23" t="s">
        <v>318</v>
      </c>
      <c r="G719" s="23" t="s">
        <v>86</v>
      </c>
      <c r="H719" s="23" t="s">
        <v>40</v>
      </c>
      <c r="I719" s="22">
        <v>2025</v>
      </c>
      <c r="J719" s="23" t="s">
        <v>319</v>
      </c>
      <c r="K719" s="22">
        <v>9785001390398</v>
      </c>
      <c r="L719" s="23" t="s">
        <v>320</v>
      </c>
      <c r="M719" s="22">
        <v>766</v>
      </c>
      <c r="N719" s="24">
        <v>1.1000000000000001</v>
      </c>
      <c r="O719" s="22">
        <v>176</v>
      </c>
      <c r="P719" s="22">
        <v>243</v>
      </c>
      <c r="Q719" s="22">
        <v>4</v>
      </c>
      <c r="R719" s="23" t="s">
        <v>94</v>
      </c>
      <c r="S719" s="23"/>
      <c r="T719" s="25">
        <v>10000</v>
      </c>
      <c r="U719" s="23" t="s">
        <v>52</v>
      </c>
      <c r="V719" s="23" t="s">
        <v>45</v>
      </c>
      <c r="W719" s="22">
        <v>10</v>
      </c>
      <c r="X719" s="35" t="str">
        <f>HYPERLINK("https://www.alpinabook.ru/catalog/book-biologiya-dobra-i-zla","ссылка на книгу")</f>
        <v>ссылка на книгу</v>
      </c>
      <c r="Y719" s="36" t="str">
        <f>HYPERLINK("https://api-enni.alpina.ru/FilePrivilegesApproval/131","https://api-enni.alpina.ru/FilePrivilegesApproval/131")</f>
        <v>https://api-enni.alpina.ru/FilePrivilegesApproval/131</v>
      </c>
      <c r="Z719" s="23" t="s">
        <v>321</v>
      </c>
      <c r="AT719" s="1">
        <f t="shared" si="108"/>
        <v>0</v>
      </c>
      <c r="AU719" s="1">
        <f t="shared" si="109"/>
        <v>0</v>
      </c>
      <c r="AV719" s="1">
        <f t="shared" si="110"/>
        <v>0</v>
      </c>
      <c r="AW719" s="1">
        <f t="shared" si="111"/>
        <v>0</v>
      </c>
      <c r="AX719" s="1">
        <f t="shared" si="112"/>
        <v>0</v>
      </c>
    </row>
    <row r="720" spans="1:50" s="1" customFormat="1" ht="24.95" customHeight="1" outlineLevel="3" x14ac:dyDescent="0.2">
      <c r="A720" s="21"/>
      <c r="B720" s="22">
        <v>710</v>
      </c>
      <c r="C720" s="25">
        <v>1090</v>
      </c>
      <c r="D720" s="22">
        <v>21122</v>
      </c>
      <c r="E720" s="23" t="s">
        <v>2308</v>
      </c>
      <c r="F720" s="23" t="s">
        <v>2309</v>
      </c>
      <c r="G720" s="23" t="s">
        <v>86</v>
      </c>
      <c r="H720" s="23" t="s">
        <v>40</v>
      </c>
      <c r="I720" s="22">
        <v>2024</v>
      </c>
      <c r="J720" s="23" t="s">
        <v>2310</v>
      </c>
      <c r="K720" s="22">
        <v>9785001399469</v>
      </c>
      <c r="L720" s="23" t="s">
        <v>2311</v>
      </c>
      <c r="M720" s="22">
        <v>400</v>
      </c>
      <c r="N720" s="24">
        <v>0.56999999999999995</v>
      </c>
      <c r="O720" s="22">
        <v>150</v>
      </c>
      <c r="P720" s="22">
        <v>220</v>
      </c>
      <c r="Q720" s="22">
        <v>10</v>
      </c>
      <c r="R720" s="23" t="s">
        <v>43</v>
      </c>
      <c r="S720" s="23"/>
      <c r="T720" s="25">
        <v>4000</v>
      </c>
      <c r="U720" s="23" t="s">
        <v>52</v>
      </c>
      <c r="V720" s="23" t="s">
        <v>45</v>
      </c>
      <c r="W720" s="22">
        <v>10</v>
      </c>
      <c r="X720" s="35" t="str">
        <f>HYPERLINK("https://www.alpinabook.ru/catalog/book-byt-soboy","ссылка на книгу")</f>
        <v>ссылка на книгу</v>
      </c>
      <c r="Y720" s="36" t="str">
        <f>HYPERLINK("https://api-enni.alpina.ru/FilePrivilegesApproval/225","https://api-enni.alpina.ru/FilePrivilegesApproval/225")</f>
        <v>https://api-enni.alpina.ru/FilePrivilegesApproval/225</v>
      </c>
      <c r="Z720" s="23"/>
      <c r="AT720" s="1">
        <f t="shared" si="108"/>
        <v>0</v>
      </c>
      <c r="AU720" s="1">
        <f t="shared" si="109"/>
        <v>0</v>
      </c>
      <c r="AV720" s="1">
        <f t="shared" si="110"/>
        <v>0</v>
      </c>
      <c r="AW720" s="1">
        <f t="shared" si="111"/>
        <v>0</v>
      </c>
      <c r="AX720" s="1">
        <f t="shared" si="112"/>
        <v>0</v>
      </c>
    </row>
    <row r="721" spans="1:50" s="1" customFormat="1" ht="24.95" customHeight="1" outlineLevel="3" x14ac:dyDescent="0.2">
      <c r="A721" s="21"/>
      <c r="B721" s="25">
        <v>1590</v>
      </c>
      <c r="C721" s="25">
        <v>1990</v>
      </c>
      <c r="D721" s="22">
        <v>2913</v>
      </c>
      <c r="E721" s="23" t="s">
        <v>2312</v>
      </c>
      <c r="F721" s="23" t="s">
        <v>2313</v>
      </c>
      <c r="G721" s="23" t="s">
        <v>97</v>
      </c>
      <c r="H721" s="23" t="s">
        <v>40</v>
      </c>
      <c r="I721" s="22">
        <v>2021</v>
      </c>
      <c r="J721" s="23" t="s">
        <v>2314</v>
      </c>
      <c r="K721" s="22">
        <v>9785961420982</v>
      </c>
      <c r="L721" s="23" t="s">
        <v>2315</v>
      </c>
      <c r="M721" s="22">
        <v>752</v>
      </c>
      <c r="N721" s="24">
        <v>1.34</v>
      </c>
      <c r="O721" s="22">
        <v>168</v>
      </c>
      <c r="P721" s="22">
        <v>241</v>
      </c>
      <c r="Q721" s="22">
        <v>4</v>
      </c>
      <c r="R721" s="23" t="s">
        <v>94</v>
      </c>
      <c r="S721" s="23"/>
      <c r="T721" s="25">
        <v>1500</v>
      </c>
      <c r="U721" s="23" t="s">
        <v>52</v>
      </c>
      <c r="V721" s="23" t="s">
        <v>64</v>
      </c>
      <c r="W721" s="22">
        <v>10</v>
      </c>
      <c r="X721" s="35" t="str">
        <f>HYPERLINK("https://www.alpinabook.ru/catalog/book-v-poiskakh-energii","ссылка на книгу")</f>
        <v>ссылка на книгу</v>
      </c>
      <c r="Y721" s="36" t="str">
        <f>HYPERLINK("https://api-enni.alpina.ru/FilePrivilegesApproval/2","https://api-enni.alpina.ru/FilePrivilegesApproval/2")</f>
        <v>https://api-enni.alpina.ru/FilePrivilegesApproval/2</v>
      </c>
      <c r="Z721" s="23"/>
      <c r="AT721" s="1">
        <f t="shared" si="108"/>
        <v>0</v>
      </c>
      <c r="AU721" s="1">
        <f t="shared" si="109"/>
        <v>0</v>
      </c>
      <c r="AV721" s="1">
        <f t="shared" si="110"/>
        <v>0</v>
      </c>
      <c r="AW721" s="1">
        <f t="shared" si="111"/>
        <v>0</v>
      </c>
      <c r="AX721" s="1">
        <f t="shared" si="112"/>
        <v>0</v>
      </c>
    </row>
    <row r="722" spans="1:50" s="1" customFormat="1" ht="24.95" customHeight="1" outlineLevel="3" x14ac:dyDescent="0.2">
      <c r="A722" s="21"/>
      <c r="B722" s="22">
        <v>390</v>
      </c>
      <c r="C722" s="22">
        <v>640</v>
      </c>
      <c r="D722" s="22">
        <v>11491</v>
      </c>
      <c r="E722" s="23" t="s">
        <v>2316</v>
      </c>
      <c r="F722" s="23" t="s">
        <v>2317</v>
      </c>
      <c r="G722" s="23" t="s">
        <v>86</v>
      </c>
      <c r="H722" s="23" t="s">
        <v>40</v>
      </c>
      <c r="I722" s="22">
        <v>2022</v>
      </c>
      <c r="J722" s="23" t="s">
        <v>2318</v>
      </c>
      <c r="K722" s="22">
        <v>9785001390619</v>
      </c>
      <c r="L722" s="23" t="s">
        <v>2319</v>
      </c>
      <c r="M722" s="22">
        <v>554</v>
      </c>
      <c r="N722" s="24">
        <v>0.36</v>
      </c>
      <c r="O722" s="22">
        <v>120</v>
      </c>
      <c r="P722" s="22">
        <v>170</v>
      </c>
      <c r="Q722" s="22">
        <v>6</v>
      </c>
      <c r="R722" s="23" t="s">
        <v>75</v>
      </c>
      <c r="S722" s="23" t="s">
        <v>596</v>
      </c>
      <c r="T722" s="25">
        <v>10000</v>
      </c>
      <c r="U722" s="23" t="s">
        <v>44</v>
      </c>
      <c r="V722" s="23" t="s">
        <v>89</v>
      </c>
      <c r="W722" s="22">
        <v>20</v>
      </c>
      <c r="X722" s="35" t="str">
        <f>HYPERLINK("https://www.alpinabook.ru/catalog/book-vagina","ссылка на книгу")</f>
        <v>ссылка на книгу</v>
      </c>
      <c r="Y722" s="36" t="str">
        <f>HYPERLINK("https://api-enni.alpina.ru/FilePrivilegesApproval/5","https://api-enni.alpina.ru/FilePrivilegesApproval/5")</f>
        <v>https://api-enni.alpina.ru/FilePrivilegesApproval/5</v>
      </c>
      <c r="Z722" s="23"/>
      <c r="AT722" s="1">
        <f t="shared" si="108"/>
        <v>0</v>
      </c>
      <c r="AU722" s="1">
        <f t="shared" si="109"/>
        <v>0</v>
      </c>
      <c r="AV722" s="1">
        <f t="shared" si="110"/>
        <v>0</v>
      </c>
      <c r="AW722" s="1">
        <f t="shared" si="111"/>
        <v>0</v>
      </c>
      <c r="AX722" s="1">
        <f t="shared" si="112"/>
        <v>0</v>
      </c>
    </row>
    <row r="723" spans="1:50" s="1" customFormat="1" ht="24.95" customHeight="1" outlineLevel="3" x14ac:dyDescent="0.2">
      <c r="A723" s="21"/>
      <c r="B723" s="22">
        <v>990</v>
      </c>
      <c r="C723" s="25">
        <v>1490</v>
      </c>
      <c r="D723" s="22">
        <v>11572</v>
      </c>
      <c r="E723" s="23" t="s">
        <v>317</v>
      </c>
      <c r="F723" s="23" t="s">
        <v>371</v>
      </c>
      <c r="G723" s="23" t="s">
        <v>86</v>
      </c>
      <c r="H723" s="23" t="s">
        <v>40</v>
      </c>
      <c r="I723" s="22">
        <v>2025</v>
      </c>
      <c r="J723" s="23" t="s">
        <v>372</v>
      </c>
      <c r="K723" s="22">
        <v>9785002231584</v>
      </c>
      <c r="L723" s="23" t="s">
        <v>373</v>
      </c>
      <c r="M723" s="22">
        <v>536</v>
      </c>
      <c r="N723" s="24">
        <v>0.8</v>
      </c>
      <c r="O723" s="22">
        <v>170</v>
      </c>
      <c r="P723" s="22">
        <v>240</v>
      </c>
      <c r="Q723" s="22">
        <v>6</v>
      </c>
      <c r="R723" s="23" t="s">
        <v>94</v>
      </c>
      <c r="S723" s="23"/>
      <c r="T723" s="25">
        <v>10000</v>
      </c>
      <c r="U723" s="23" t="s">
        <v>52</v>
      </c>
      <c r="V723" s="23" t="s">
        <v>89</v>
      </c>
      <c r="W723" s="22">
        <v>10</v>
      </c>
      <c r="X723" s="35" t="str">
        <f>HYPERLINK("https://www.alpinabook.ru/catalog/book-vsye-resheno","ссылка на книгу")</f>
        <v>ссылка на книгу</v>
      </c>
      <c r="Y723" s="36" t="str">
        <f>HYPERLINK("https://api-enni.alpina.ru/FilePrivilegesApproval/813","https://api-enni.alpina.ru/FilePrivilegesApproval/813")</f>
        <v>https://api-enni.alpina.ru/FilePrivilegesApproval/813</v>
      </c>
      <c r="Z723" s="23" t="s">
        <v>374</v>
      </c>
      <c r="AT723" s="1">
        <f t="shared" si="108"/>
        <v>0</v>
      </c>
      <c r="AU723" s="1">
        <f t="shared" si="109"/>
        <v>0</v>
      </c>
      <c r="AV723" s="1">
        <f t="shared" si="110"/>
        <v>0</v>
      </c>
      <c r="AW723" s="1">
        <f t="shared" si="111"/>
        <v>0</v>
      </c>
      <c r="AX723" s="1">
        <f t="shared" si="112"/>
        <v>0</v>
      </c>
    </row>
    <row r="724" spans="1:50" s="1" customFormat="1" ht="24.95" customHeight="1" outlineLevel="3" x14ac:dyDescent="0.2">
      <c r="A724" s="21"/>
      <c r="B724" s="22">
        <v>380</v>
      </c>
      <c r="C724" s="22">
        <v>540</v>
      </c>
      <c r="D724" s="22">
        <v>30367</v>
      </c>
      <c r="E724" s="23" t="s">
        <v>2320</v>
      </c>
      <c r="F724" s="23" t="s">
        <v>2321</v>
      </c>
      <c r="G724" s="23" t="s">
        <v>86</v>
      </c>
      <c r="H724" s="23"/>
      <c r="I724" s="22">
        <v>2025</v>
      </c>
      <c r="J724" s="23" t="s">
        <v>2322</v>
      </c>
      <c r="K724" s="22">
        <v>9785916711738</v>
      </c>
      <c r="L724" s="23" t="s">
        <v>2323</v>
      </c>
      <c r="M724" s="22">
        <v>320</v>
      </c>
      <c r="N724" s="24">
        <v>0.21</v>
      </c>
      <c r="O724" s="22">
        <v>120</v>
      </c>
      <c r="P724" s="22">
        <v>170</v>
      </c>
      <c r="Q724" s="22">
        <v>20</v>
      </c>
      <c r="R724" s="23" t="s">
        <v>75</v>
      </c>
      <c r="S724" s="23" t="s">
        <v>596</v>
      </c>
      <c r="T724" s="25">
        <v>2000</v>
      </c>
      <c r="U724" s="23" t="s">
        <v>44</v>
      </c>
      <c r="V724" s="23" t="s">
        <v>59</v>
      </c>
      <c r="W724" s="22">
        <v>10</v>
      </c>
      <c r="X724" s="35" t="str">
        <f>HYPERLINK("https://www.alpinabook.ru/catalog/book-vse-formuly-mira","ссылка на книгу")</f>
        <v>ссылка на книгу</v>
      </c>
      <c r="Y724" s="36" t="str">
        <f>HYPERLINK("https://api-enni.alpina.ru/FilePrivilegesApproval/270","https://api-enni.alpina.ru/FilePrivilegesApproval/270")</f>
        <v>https://api-enni.alpina.ru/FilePrivilegesApproval/270</v>
      </c>
      <c r="Z724" s="23" t="s">
        <v>865</v>
      </c>
      <c r="AT724" s="1">
        <f t="shared" si="108"/>
        <v>0</v>
      </c>
      <c r="AU724" s="1">
        <f t="shared" si="109"/>
        <v>0</v>
      </c>
      <c r="AV724" s="1">
        <f t="shared" si="110"/>
        <v>0</v>
      </c>
      <c r="AW724" s="1">
        <f t="shared" si="111"/>
        <v>0</v>
      </c>
      <c r="AX724" s="1">
        <f t="shared" si="112"/>
        <v>0</v>
      </c>
    </row>
    <row r="725" spans="1:50" s="1" customFormat="1" ht="21.95" customHeight="1" outlineLevel="3" x14ac:dyDescent="0.2">
      <c r="A725" s="21"/>
      <c r="B725" s="22">
        <v>490</v>
      </c>
      <c r="C725" s="22">
        <v>740</v>
      </c>
      <c r="D725" s="22">
        <v>26347</v>
      </c>
      <c r="E725" s="23" t="s">
        <v>2324</v>
      </c>
      <c r="F725" s="23" t="s">
        <v>2325</v>
      </c>
      <c r="G725" s="23" t="s">
        <v>97</v>
      </c>
      <c r="H725" s="23"/>
      <c r="I725" s="22">
        <v>2023</v>
      </c>
      <c r="J725" s="23" t="s">
        <v>2326</v>
      </c>
      <c r="K725" s="22">
        <v>9785206000344</v>
      </c>
      <c r="L725" s="23" t="s">
        <v>2327</v>
      </c>
      <c r="M725" s="22">
        <v>408</v>
      </c>
      <c r="N725" s="24">
        <v>0.4</v>
      </c>
      <c r="O725" s="22">
        <v>140</v>
      </c>
      <c r="P725" s="22">
        <v>210</v>
      </c>
      <c r="Q725" s="22">
        <v>7</v>
      </c>
      <c r="R725" s="23" t="s">
        <v>43</v>
      </c>
      <c r="S725" s="23"/>
      <c r="T725" s="25">
        <v>7000</v>
      </c>
      <c r="U725" s="23" t="s">
        <v>44</v>
      </c>
      <c r="V725" s="23" t="s">
        <v>89</v>
      </c>
      <c r="W725" s="22">
        <v>20</v>
      </c>
      <c r="X725" s="35" t="str">
        <f>HYPERLINK("https://www.alpinabook.ru/catalog/book-vsya-kremlevskaya-rat","ссылка на книгу")</f>
        <v>ссылка на книгу</v>
      </c>
      <c r="Y725" s="36" t="str">
        <f>HYPERLINK("","")</f>
        <v/>
      </c>
      <c r="Z725" s="23"/>
      <c r="AT725" s="1">
        <f t="shared" si="108"/>
        <v>0</v>
      </c>
      <c r="AU725" s="1">
        <f t="shared" si="109"/>
        <v>0</v>
      </c>
      <c r="AV725" s="1">
        <f t="shared" si="110"/>
        <v>0</v>
      </c>
      <c r="AW725" s="1">
        <f t="shared" si="111"/>
        <v>0</v>
      </c>
      <c r="AX725" s="1">
        <f t="shared" si="112"/>
        <v>0</v>
      </c>
    </row>
    <row r="726" spans="1:50" s="1" customFormat="1" ht="24.95" customHeight="1" outlineLevel="3" x14ac:dyDescent="0.2">
      <c r="A726" s="21"/>
      <c r="B726" s="22">
        <v>690</v>
      </c>
      <c r="C726" s="22">
        <v>690</v>
      </c>
      <c r="D726" s="22">
        <v>5638</v>
      </c>
      <c r="E726" s="23" t="s">
        <v>2324</v>
      </c>
      <c r="F726" s="23" t="s">
        <v>2325</v>
      </c>
      <c r="G726" s="23" t="s">
        <v>97</v>
      </c>
      <c r="H726" s="23"/>
      <c r="I726" s="22">
        <v>2022</v>
      </c>
      <c r="J726" s="23" t="s">
        <v>2328</v>
      </c>
      <c r="K726" s="22">
        <v>9785990813397</v>
      </c>
      <c r="L726" s="23" t="s">
        <v>2329</v>
      </c>
      <c r="M726" s="22">
        <v>408</v>
      </c>
      <c r="N726" s="24">
        <v>0.53</v>
      </c>
      <c r="O726" s="22">
        <v>150</v>
      </c>
      <c r="P726" s="22">
        <v>220</v>
      </c>
      <c r="Q726" s="22">
        <v>8</v>
      </c>
      <c r="R726" s="23" t="s">
        <v>43</v>
      </c>
      <c r="S726" s="23"/>
      <c r="T726" s="25">
        <v>15000</v>
      </c>
      <c r="U726" s="23" t="s">
        <v>52</v>
      </c>
      <c r="V726" s="23" t="s">
        <v>89</v>
      </c>
      <c r="W726" s="22">
        <v>20</v>
      </c>
      <c r="X726" s="35" t="str">
        <f>HYPERLINK("https://www.alpinabook.ru/catalog/book-vsya-kremlevskaya-rat","ссылка на книгу")</f>
        <v>ссылка на книгу</v>
      </c>
      <c r="Y726" s="36" t="str">
        <f>HYPERLINK("https://api-enni.alpina.ru/FilePrivilegesApproval/93","https://api-enni.alpina.ru/FilePrivilegesApproval/93")</f>
        <v>https://api-enni.alpina.ru/FilePrivilegesApproval/93</v>
      </c>
      <c r="Z726" s="23"/>
      <c r="AT726" s="1">
        <f t="shared" si="108"/>
        <v>0</v>
      </c>
      <c r="AU726" s="1">
        <f t="shared" si="109"/>
        <v>0</v>
      </c>
      <c r="AV726" s="1">
        <f t="shared" si="110"/>
        <v>0</v>
      </c>
      <c r="AW726" s="1">
        <f t="shared" si="111"/>
        <v>0</v>
      </c>
      <c r="AX726" s="1">
        <f t="shared" si="112"/>
        <v>0</v>
      </c>
    </row>
    <row r="727" spans="1:50" s="1" customFormat="1" ht="24.95" customHeight="1" outlineLevel="3" x14ac:dyDescent="0.2">
      <c r="A727" s="21"/>
      <c r="B727" s="25">
        <v>2590</v>
      </c>
      <c r="C727" s="25">
        <v>3490</v>
      </c>
      <c r="D727" s="22">
        <v>2050</v>
      </c>
      <c r="E727" s="23" t="s">
        <v>2330</v>
      </c>
      <c r="F727" s="23" t="s">
        <v>2331</v>
      </c>
      <c r="G727" s="23" t="s">
        <v>86</v>
      </c>
      <c r="H727" s="23" t="s">
        <v>40</v>
      </c>
      <c r="I727" s="22">
        <v>2024</v>
      </c>
      <c r="J727" s="23" t="s">
        <v>2332</v>
      </c>
      <c r="K727" s="22">
        <v>9785916719338</v>
      </c>
      <c r="L727" s="23" t="s">
        <v>2333</v>
      </c>
      <c r="M727" s="25">
        <v>2128</v>
      </c>
      <c r="N727" s="24">
        <v>2.37</v>
      </c>
      <c r="O727" s="22">
        <v>140</v>
      </c>
      <c r="P727" s="22">
        <v>220</v>
      </c>
      <c r="Q727" s="22">
        <v>2</v>
      </c>
      <c r="R727" s="23" t="s">
        <v>43</v>
      </c>
      <c r="S727" s="23"/>
      <c r="T727" s="25">
        <v>2000</v>
      </c>
      <c r="U727" s="23" t="s">
        <v>52</v>
      </c>
      <c r="V727" s="23" t="s">
        <v>59</v>
      </c>
      <c r="W727" s="22">
        <v>10</v>
      </c>
      <c r="X727" s="35" t="str">
        <f>HYPERLINK("https://www.alpinabook.ru/catalog/book-vtoraya-mirovaya","ссылка на книгу")</f>
        <v>ссылка на книгу</v>
      </c>
      <c r="Y727" s="36" t="str">
        <f>HYPERLINK("https://api-enni.alpina.ru/FilePrivilegesApproval/149","https://api-enni.alpina.ru/FilePrivilegesApproval/149")</f>
        <v>https://api-enni.alpina.ru/FilePrivilegesApproval/149</v>
      </c>
      <c r="Z727" s="23" t="s">
        <v>1422</v>
      </c>
      <c r="AT727" s="1">
        <f t="shared" si="108"/>
        <v>0</v>
      </c>
      <c r="AU727" s="1">
        <f t="shared" si="109"/>
        <v>0</v>
      </c>
      <c r="AV727" s="1">
        <f t="shared" si="110"/>
        <v>0</v>
      </c>
      <c r="AW727" s="1">
        <f t="shared" si="111"/>
        <v>0</v>
      </c>
      <c r="AX727" s="1">
        <f t="shared" si="112"/>
        <v>0</v>
      </c>
    </row>
    <row r="728" spans="1:50" s="1" customFormat="1" ht="24.95" customHeight="1" outlineLevel="3" x14ac:dyDescent="0.2">
      <c r="A728" s="21"/>
      <c r="B728" s="22">
        <v>590</v>
      </c>
      <c r="C728" s="22">
        <v>840</v>
      </c>
      <c r="D728" s="22">
        <v>17580</v>
      </c>
      <c r="E728" s="23" t="s">
        <v>2334</v>
      </c>
      <c r="F728" s="23" t="s">
        <v>2335</v>
      </c>
      <c r="G728" s="23" t="s">
        <v>56</v>
      </c>
      <c r="H728" s="23" t="s">
        <v>164</v>
      </c>
      <c r="I728" s="22">
        <v>2023</v>
      </c>
      <c r="J728" s="23" t="s">
        <v>2336</v>
      </c>
      <c r="K728" s="22">
        <v>9785961458909</v>
      </c>
      <c r="L728" s="23" t="s">
        <v>2337</v>
      </c>
      <c r="M728" s="22">
        <v>232</v>
      </c>
      <c r="N728" s="24">
        <v>0.28999999999999998</v>
      </c>
      <c r="O728" s="22">
        <v>140</v>
      </c>
      <c r="P728" s="22">
        <v>220</v>
      </c>
      <c r="Q728" s="22">
        <v>18</v>
      </c>
      <c r="R728" s="23" t="s">
        <v>43</v>
      </c>
      <c r="S728" s="23"/>
      <c r="T728" s="25">
        <v>5000</v>
      </c>
      <c r="U728" s="23" t="s">
        <v>44</v>
      </c>
      <c r="V728" s="23" t="s">
        <v>89</v>
      </c>
      <c r="W728" s="22">
        <v>10</v>
      </c>
      <c r="X728" s="35" t="str">
        <f>HYPERLINK("https://www.alpinabook.ru/catalog/book-geroi-knig-na-prieme-u-psikhoterapevta","ссылка на книгу")</f>
        <v>ссылка на книгу</v>
      </c>
      <c r="Y728" s="36" t="str">
        <f>HYPERLINK("https://api-enni.alpina.ru/FilePrivilegesApproval/128","https://api-enni.alpina.ru/FilePrivilegesApproval/128")</f>
        <v>https://api-enni.alpina.ru/FilePrivilegesApproval/128</v>
      </c>
      <c r="Z728" s="23"/>
      <c r="AT728" s="1">
        <f t="shared" si="108"/>
        <v>0</v>
      </c>
      <c r="AU728" s="1">
        <f t="shared" si="109"/>
        <v>0</v>
      </c>
      <c r="AV728" s="1">
        <f t="shared" si="110"/>
        <v>0</v>
      </c>
      <c r="AW728" s="1">
        <f t="shared" si="111"/>
        <v>0</v>
      </c>
      <c r="AX728" s="1">
        <f t="shared" si="112"/>
        <v>0</v>
      </c>
    </row>
    <row r="729" spans="1:50" s="1" customFormat="1" ht="24.95" customHeight="1" outlineLevel="3" x14ac:dyDescent="0.2">
      <c r="A729" s="21"/>
      <c r="B729" s="25">
        <v>1990</v>
      </c>
      <c r="C729" s="25">
        <v>2490</v>
      </c>
      <c r="D729" s="22">
        <v>4681</v>
      </c>
      <c r="E729" s="23" t="s">
        <v>2312</v>
      </c>
      <c r="F729" s="23" t="s">
        <v>2338</v>
      </c>
      <c r="G729" s="23" t="s">
        <v>97</v>
      </c>
      <c r="H729" s="23" t="s">
        <v>40</v>
      </c>
      <c r="I729" s="22">
        <v>2024</v>
      </c>
      <c r="J729" s="23" t="s">
        <v>2339</v>
      </c>
      <c r="K729" s="22">
        <v>9785961437881</v>
      </c>
      <c r="L729" s="23" t="s">
        <v>2340</v>
      </c>
      <c r="M729" s="22">
        <v>960</v>
      </c>
      <c r="N729" s="24">
        <v>1.44</v>
      </c>
      <c r="O729" s="22">
        <v>168</v>
      </c>
      <c r="P729" s="22">
        <v>241</v>
      </c>
      <c r="Q729" s="22">
        <v>2</v>
      </c>
      <c r="R729" s="23" t="s">
        <v>94</v>
      </c>
      <c r="S729" s="23"/>
      <c r="T729" s="25">
        <v>3000</v>
      </c>
      <c r="U729" s="23" t="s">
        <v>52</v>
      </c>
      <c r="V729" s="23" t="s">
        <v>64</v>
      </c>
      <c r="W729" s="22">
        <v>10</v>
      </c>
      <c r="X729" s="35" t="str">
        <f>HYPERLINK("https://www.alpinabook.ru/catalog/book-dobycha","ссылка на книгу")</f>
        <v>ссылка на книгу</v>
      </c>
      <c r="Y729" s="36" t="str">
        <f>HYPERLINK("https://api-enni.alpina.ru/FilePrivilegesApproval/2","https://api-enni.alpina.ru/FilePrivilegesApproval/2")</f>
        <v>https://api-enni.alpina.ru/FilePrivilegesApproval/2</v>
      </c>
      <c r="Z729" s="23" t="s">
        <v>1350</v>
      </c>
      <c r="AT729" s="1">
        <f t="shared" si="108"/>
        <v>0</v>
      </c>
      <c r="AU729" s="1">
        <f t="shared" si="109"/>
        <v>0</v>
      </c>
      <c r="AV729" s="1">
        <f t="shared" si="110"/>
        <v>0</v>
      </c>
      <c r="AW729" s="1">
        <f t="shared" si="111"/>
        <v>0</v>
      </c>
      <c r="AX729" s="1">
        <f t="shared" si="112"/>
        <v>0</v>
      </c>
    </row>
    <row r="730" spans="1:50" s="1" customFormat="1" ht="24.95" customHeight="1" outlineLevel="3" x14ac:dyDescent="0.2">
      <c r="A730" s="21"/>
      <c r="B730" s="22">
        <v>590</v>
      </c>
      <c r="C730" s="22">
        <v>840</v>
      </c>
      <c r="D730" s="22">
        <v>26211</v>
      </c>
      <c r="E730" s="23" t="s">
        <v>2341</v>
      </c>
      <c r="F730" s="23" t="s">
        <v>2342</v>
      </c>
      <c r="G730" s="23" t="s">
        <v>56</v>
      </c>
      <c r="H730" s="23"/>
      <c r="I730" s="22">
        <v>2025</v>
      </c>
      <c r="J730" s="23" t="s">
        <v>2343</v>
      </c>
      <c r="K730" s="22">
        <v>9785961480764</v>
      </c>
      <c r="L730" s="23" t="s">
        <v>2344</v>
      </c>
      <c r="M730" s="22">
        <v>220</v>
      </c>
      <c r="N730" s="24">
        <v>0.28000000000000003</v>
      </c>
      <c r="O730" s="22">
        <v>150</v>
      </c>
      <c r="P730" s="22">
        <v>210</v>
      </c>
      <c r="Q730" s="22">
        <v>16</v>
      </c>
      <c r="R730" s="23" t="s">
        <v>43</v>
      </c>
      <c r="S730" s="23"/>
      <c r="T730" s="25">
        <v>1500</v>
      </c>
      <c r="U730" s="23" t="s">
        <v>44</v>
      </c>
      <c r="V730" s="23" t="s">
        <v>89</v>
      </c>
      <c r="W730" s="22">
        <v>10</v>
      </c>
      <c r="X730" s="35" t="str">
        <f>HYPERLINK("https://www.alpinabook.ru/catalog/book-dokazatelstvo-po-telu","ссылка на книгу")</f>
        <v>ссылка на книгу</v>
      </c>
      <c r="Y730" s="36" t="str">
        <f>HYPERLINK("https://api-enni.alpina.ru/FilePrivilegesApproval/299","https://api-enni.alpina.ru/FilePrivilegesApproval/299")</f>
        <v>https://api-enni.alpina.ru/FilePrivilegesApproval/299</v>
      </c>
      <c r="Z730" s="23"/>
      <c r="AT730" s="1">
        <f t="shared" si="108"/>
        <v>0</v>
      </c>
      <c r="AU730" s="1">
        <f t="shared" si="109"/>
        <v>0</v>
      </c>
      <c r="AV730" s="1">
        <f t="shared" si="110"/>
        <v>0</v>
      </c>
      <c r="AW730" s="1">
        <f t="shared" si="111"/>
        <v>0</v>
      </c>
      <c r="AX730" s="1">
        <f t="shared" si="112"/>
        <v>0</v>
      </c>
    </row>
    <row r="731" spans="1:50" s="1" customFormat="1" ht="24.95" customHeight="1" outlineLevel="3" x14ac:dyDescent="0.2">
      <c r="A731" s="21"/>
      <c r="B731" s="25">
        <v>1190</v>
      </c>
      <c r="C731" s="25">
        <v>1690</v>
      </c>
      <c r="D731" s="22">
        <v>17944</v>
      </c>
      <c r="E731" s="23" t="s">
        <v>2345</v>
      </c>
      <c r="F731" s="23" t="s">
        <v>2346</v>
      </c>
      <c r="G731" s="23" t="s">
        <v>86</v>
      </c>
      <c r="H731" s="23" t="s">
        <v>40</v>
      </c>
      <c r="I731" s="22">
        <v>2025</v>
      </c>
      <c r="J731" s="23" t="s">
        <v>2347</v>
      </c>
      <c r="K731" s="22">
        <v>9785001393658</v>
      </c>
      <c r="L731" s="23" t="s">
        <v>2348</v>
      </c>
      <c r="M731" s="22">
        <v>695</v>
      </c>
      <c r="N731" s="24">
        <v>0.8</v>
      </c>
      <c r="O731" s="22">
        <v>150</v>
      </c>
      <c r="P731" s="22">
        <v>220</v>
      </c>
      <c r="Q731" s="22">
        <v>6</v>
      </c>
      <c r="R731" s="23" t="s">
        <v>43</v>
      </c>
      <c r="S731" s="23"/>
      <c r="T731" s="25">
        <v>1500</v>
      </c>
      <c r="U731" s="23" t="s">
        <v>52</v>
      </c>
      <c r="V731" s="23" t="s">
        <v>45</v>
      </c>
      <c r="W731" s="22">
        <v>10</v>
      </c>
      <c r="X731" s="35" t="str">
        <f>HYPERLINK("https://www.alpinabook.ru/catalog/book-i-budet-rydat-zemlya","ссылка на книгу")</f>
        <v>ссылка на книгу</v>
      </c>
      <c r="Y731" s="36" t="str">
        <f>HYPERLINK("https://api-enni.alpina.ru/FilePrivilegesApproval/185","https://api-enni.alpina.ru/FilePrivilegesApproval/185")</f>
        <v>https://api-enni.alpina.ru/FilePrivilegesApproval/185</v>
      </c>
      <c r="Z731" s="23" t="s">
        <v>775</v>
      </c>
      <c r="AT731" s="1">
        <f t="shared" si="108"/>
        <v>0</v>
      </c>
      <c r="AU731" s="1">
        <f t="shared" si="109"/>
        <v>0</v>
      </c>
      <c r="AV731" s="1">
        <f t="shared" si="110"/>
        <v>0</v>
      </c>
      <c r="AW731" s="1">
        <f t="shared" si="111"/>
        <v>0</v>
      </c>
      <c r="AX731" s="1">
        <f t="shared" si="112"/>
        <v>0</v>
      </c>
    </row>
    <row r="732" spans="1:50" s="1" customFormat="1" ht="24.95" customHeight="1" outlineLevel="3" x14ac:dyDescent="0.2">
      <c r="A732" s="21"/>
      <c r="B732" s="22">
        <v>490</v>
      </c>
      <c r="C732" s="22">
        <v>790</v>
      </c>
      <c r="D732" s="22">
        <v>27329</v>
      </c>
      <c r="E732" s="23" t="s">
        <v>2349</v>
      </c>
      <c r="F732" s="23" t="s">
        <v>2350</v>
      </c>
      <c r="G732" s="23" t="s">
        <v>86</v>
      </c>
      <c r="H732" s="23"/>
      <c r="I732" s="22">
        <v>2025</v>
      </c>
      <c r="J732" s="23" t="s">
        <v>2351</v>
      </c>
      <c r="K732" s="22">
        <v>9785001399148</v>
      </c>
      <c r="L732" s="23" t="s">
        <v>2352</v>
      </c>
      <c r="M732" s="22">
        <v>208</v>
      </c>
      <c r="N732" s="24">
        <v>0.35</v>
      </c>
      <c r="O732" s="22">
        <v>150</v>
      </c>
      <c r="P732" s="22">
        <v>220</v>
      </c>
      <c r="Q732" s="22">
        <v>18</v>
      </c>
      <c r="R732" s="23" t="s">
        <v>43</v>
      </c>
      <c r="S732" s="23"/>
      <c r="T732" s="25">
        <v>2000</v>
      </c>
      <c r="U732" s="23" t="s">
        <v>52</v>
      </c>
      <c r="V732" s="23" t="s">
        <v>64</v>
      </c>
      <c r="W732" s="22">
        <v>10</v>
      </c>
      <c r="X732" s="35" t="str">
        <f>HYPERLINK("https://www.alpinabook.ru/catalog/book-iz-zametok-o-lyubitelskoy-lingvistike","ссылка на книгу")</f>
        <v>ссылка на книгу</v>
      </c>
      <c r="Y732" s="36" t="str">
        <f>HYPERLINK("https://api-enni.alpina.ru/FilePrivilegesApproval/203","https://api-enni.alpina.ru/FilePrivilegesApproval/203")</f>
        <v>https://api-enni.alpina.ru/FilePrivilegesApproval/203</v>
      </c>
      <c r="Z732" s="23" t="s">
        <v>308</v>
      </c>
      <c r="AT732" s="1">
        <f t="shared" si="108"/>
        <v>0</v>
      </c>
      <c r="AU732" s="1">
        <f t="shared" si="109"/>
        <v>0</v>
      </c>
      <c r="AV732" s="1">
        <f t="shared" si="110"/>
        <v>0</v>
      </c>
      <c r="AW732" s="1">
        <f t="shared" si="111"/>
        <v>0</v>
      </c>
      <c r="AX732" s="1">
        <f t="shared" si="112"/>
        <v>0</v>
      </c>
    </row>
    <row r="733" spans="1:50" s="1" customFormat="1" ht="24.95" customHeight="1" outlineLevel="3" x14ac:dyDescent="0.2">
      <c r="A733" s="21"/>
      <c r="B733" s="22">
        <v>890</v>
      </c>
      <c r="C733" s="25">
        <v>1290</v>
      </c>
      <c r="D733" s="22">
        <v>24964</v>
      </c>
      <c r="E733" s="23" t="s">
        <v>2353</v>
      </c>
      <c r="F733" s="23" t="s">
        <v>2354</v>
      </c>
      <c r="G733" s="23" t="s">
        <v>86</v>
      </c>
      <c r="H733" s="23" t="s">
        <v>40</v>
      </c>
      <c r="I733" s="22">
        <v>2025</v>
      </c>
      <c r="J733" s="23" t="s">
        <v>2355</v>
      </c>
      <c r="K733" s="22">
        <v>9785001398257</v>
      </c>
      <c r="L733" s="23" t="s">
        <v>2356</v>
      </c>
      <c r="M733" s="22">
        <v>408</v>
      </c>
      <c r="N733" s="24">
        <v>0.74</v>
      </c>
      <c r="O733" s="22">
        <v>170</v>
      </c>
      <c r="P733" s="22">
        <v>240</v>
      </c>
      <c r="Q733" s="22">
        <v>5</v>
      </c>
      <c r="R733" s="23" t="s">
        <v>94</v>
      </c>
      <c r="S733" s="23"/>
      <c r="T733" s="25">
        <v>2000</v>
      </c>
      <c r="U733" s="23" t="s">
        <v>52</v>
      </c>
      <c r="V733" s="23" t="s">
        <v>45</v>
      </c>
      <c r="W733" s="22">
        <v>10</v>
      </c>
      <c r="X733" s="35" t="str">
        <f>HYPERLINK("https://www.alpinabook.ru/catalog/book-istoriya-zemli-v-25-kamnyakh","ссылка на книгу")</f>
        <v>ссылка на книгу</v>
      </c>
      <c r="Y733" s="36" t="str">
        <f>HYPERLINK("https://api-enni.alpina.ru/FilePrivilegesApproval/733","https://api-enni.alpina.ru/FilePrivilegesApproval/733")</f>
        <v>https://api-enni.alpina.ru/FilePrivilegesApproval/733</v>
      </c>
      <c r="Z733" s="23"/>
      <c r="AT733" s="1">
        <f t="shared" si="108"/>
        <v>0</v>
      </c>
      <c r="AU733" s="1">
        <f t="shared" si="109"/>
        <v>0</v>
      </c>
      <c r="AV733" s="1">
        <f t="shared" si="110"/>
        <v>0</v>
      </c>
      <c r="AW733" s="1">
        <f t="shared" si="111"/>
        <v>0</v>
      </c>
      <c r="AX733" s="1">
        <f t="shared" si="112"/>
        <v>0</v>
      </c>
    </row>
    <row r="734" spans="1:50" s="1" customFormat="1" ht="24.95" customHeight="1" outlineLevel="3" x14ac:dyDescent="0.2">
      <c r="A734" s="21"/>
      <c r="B734" s="22">
        <v>690</v>
      </c>
      <c r="C734" s="22">
        <v>990</v>
      </c>
      <c r="D734" s="22">
        <v>7333</v>
      </c>
      <c r="E734" s="23" t="s">
        <v>84</v>
      </c>
      <c r="F734" s="23" t="s">
        <v>2357</v>
      </c>
      <c r="G734" s="23" t="s">
        <v>86</v>
      </c>
      <c r="H734" s="23" t="s">
        <v>40</v>
      </c>
      <c r="I734" s="22">
        <v>2025</v>
      </c>
      <c r="J734" s="23" t="s">
        <v>2358</v>
      </c>
      <c r="K734" s="22">
        <v>9785916718089</v>
      </c>
      <c r="L734" s="23" t="s">
        <v>2359</v>
      </c>
      <c r="M734" s="22">
        <v>279</v>
      </c>
      <c r="N734" s="24">
        <v>0.37</v>
      </c>
      <c r="O734" s="22">
        <v>146</v>
      </c>
      <c r="P734" s="22">
        <v>216</v>
      </c>
      <c r="Q734" s="22">
        <v>14</v>
      </c>
      <c r="R734" s="23" t="s">
        <v>43</v>
      </c>
      <c r="S734" s="23"/>
      <c r="T734" s="25">
        <v>3000</v>
      </c>
      <c r="U734" s="23" t="s">
        <v>52</v>
      </c>
      <c r="V734" s="23" t="s">
        <v>45</v>
      </c>
      <c r="W734" s="22">
        <v>10</v>
      </c>
      <c r="X734" s="35" t="str">
        <f>HYPERLINK("https://www.alpinabook.ru/catalog/book-kak-byt-stoikom","ссылка на книгу")</f>
        <v>ссылка на книгу</v>
      </c>
      <c r="Y734" s="36" t="str">
        <f>HYPERLINK("https://api-enni.alpina.ru/FilePrivilegesApproval/146","https://api-enni.alpina.ru/FilePrivilegesApproval/146")</f>
        <v>https://api-enni.alpina.ru/FilePrivilegesApproval/146</v>
      </c>
      <c r="Z734" s="23" t="s">
        <v>374</v>
      </c>
      <c r="AT734" s="1">
        <f t="shared" si="108"/>
        <v>0</v>
      </c>
      <c r="AU734" s="1">
        <f t="shared" si="109"/>
        <v>0</v>
      </c>
      <c r="AV734" s="1">
        <f t="shared" si="110"/>
        <v>0</v>
      </c>
      <c r="AW734" s="1">
        <f t="shared" si="111"/>
        <v>0</v>
      </c>
      <c r="AX734" s="1">
        <f t="shared" si="112"/>
        <v>0</v>
      </c>
    </row>
    <row r="735" spans="1:50" s="1" customFormat="1" ht="24.95" customHeight="1" outlineLevel="3" x14ac:dyDescent="0.2">
      <c r="A735" s="21"/>
      <c r="B735" s="22">
        <v>740</v>
      </c>
      <c r="C735" s="25">
        <v>1090</v>
      </c>
      <c r="D735" s="22">
        <v>26050</v>
      </c>
      <c r="E735" s="23" t="s">
        <v>2360</v>
      </c>
      <c r="F735" s="23" t="s">
        <v>2361</v>
      </c>
      <c r="G735" s="23" t="s">
        <v>86</v>
      </c>
      <c r="H735" s="23" t="s">
        <v>40</v>
      </c>
      <c r="I735" s="22">
        <v>2025</v>
      </c>
      <c r="J735" s="23" t="s">
        <v>2362</v>
      </c>
      <c r="K735" s="22">
        <v>9785001397281</v>
      </c>
      <c r="L735" s="23" t="s">
        <v>2363</v>
      </c>
      <c r="M735" s="22">
        <v>412</v>
      </c>
      <c r="N735" s="24">
        <v>0.59</v>
      </c>
      <c r="O735" s="22">
        <v>150</v>
      </c>
      <c r="P735" s="22">
        <v>220</v>
      </c>
      <c r="Q735" s="22">
        <v>10</v>
      </c>
      <c r="R735" s="23" t="s">
        <v>43</v>
      </c>
      <c r="S735" s="23"/>
      <c r="T735" s="25">
        <v>2500</v>
      </c>
      <c r="U735" s="23" t="s">
        <v>52</v>
      </c>
      <c r="V735" s="23" t="s">
        <v>45</v>
      </c>
      <c r="W735" s="22">
        <v>10</v>
      </c>
      <c r="X735" s="35" t="str">
        <f>HYPERLINK("https://www.alpinabook.ru/catalog/book-kvantovoe-prevoskhodstvo","ссылка на книгу")</f>
        <v>ссылка на книгу</v>
      </c>
      <c r="Y735" s="36" t="str">
        <f>HYPERLINK("https://api-enni.alpina.ru/FilePrivilegesApproval/705","https://api-enni.alpina.ru/FilePrivilegesApproval/705")</f>
        <v>https://api-enni.alpina.ru/FilePrivilegesApproval/705</v>
      </c>
      <c r="Z735" s="23" t="s">
        <v>1350</v>
      </c>
      <c r="AT735" s="1">
        <f t="shared" si="108"/>
        <v>0</v>
      </c>
      <c r="AU735" s="1">
        <f t="shared" si="109"/>
        <v>0</v>
      </c>
      <c r="AV735" s="1">
        <f t="shared" si="110"/>
        <v>0</v>
      </c>
      <c r="AW735" s="1">
        <f t="shared" si="111"/>
        <v>0</v>
      </c>
      <c r="AX735" s="1">
        <f t="shared" si="112"/>
        <v>0</v>
      </c>
    </row>
    <row r="736" spans="1:50" s="1" customFormat="1" ht="24.95" customHeight="1" outlineLevel="3" x14ac:dyDescent="0.2">
      <c r="A736" s="21"/>
      <c r="B736" s="22">
        <v>790</v>
      </c>
      <c r="C736" s="25">
        <v>1190</v>
      </c>
      <c r="D736" s="22">
        <v>26640</v>
      </c>
      <c r="E736" s="23" t="s">
        <v>2364</v>
      </c>
      <c r="F736" s="23" t="s">
        <v>2365</v>
      </c>
      <c r="G736" s="23" t="s">
        <v>56</v>
      </c>
      <c r="H736" s="23" t="s">
        <v>40</v>
      </c>
      <c r="I736" s="22">
        <v>2025</v>
      </c>
      <c r="J736" s="23" t="s">
        <v>2366</v>
      </c>
      <c r="K736" s="22">
        <v>9785961482485</v>
      </c>
      <c r="L736" s="23" t="s">
        <v>2367</v>
      </c>
      <c r="M736" s="22">
        <v>660</v>
      </c>
      <c r="N736" s="24">
        <v>0.87</v>
      </c>
      <c r="O736" s="22">
        <v>150</v>
      </c>
      <c r="P736" s="22">
        <v>220</v>
      </c>
      <c r="Q736" s="22">
        <v>6</v>
      </c>
      <c r="R736" s="23" t="s">
        <v>43</v>
      </c>
      <c r="S736" s="23"/>
      <c r="T736" s="25">
        <v>2000</v>
      </c>
      <c r="U736" s="23" t="s">
        <v>52</v>
      </c>
      <c r="V736" s="23" t="s">
        <v>45</v>
      </c>
      <c r="W736" s="22">
        <v>10</v>
      </c>
      <c r="X736" s="35" t="str">
        <f>HYPERLINK("https://www.alpinabook.ru/catalog/book-konets-mira-eto-tolko-nachalo","ссылка на книгу")</f>
        <v>ссылка на книгу</v>
      </c>
      <c r="Y736" s="36" t="str">
        <f>HYPERLINK("https://api-enni.alpina.ru/FilePrivilegesApproval/371","https://api-enni.alpina.ru/FilePrivilegesApproval/371")</f>
        <v>https://api-enni.alpina.ru/FilePrivilegesApproval/371</v>
      </c>
      <c r="Z736" s="23"/>
      <c r="AT736" s="1">
        <f t="shared" si="108"/>
        <v>0</v>
      </c>
      <c r="AU736" s="1">
        <f t="shared" si="109"/>
        <v>0</v>
      </c>
      <c r="AV736" s="1">
        <f t="shared" si="110"/>
        <v>0</v>
      </c>
      <c r="AW736" s="1">
        <f t="shared" si="111"/>
        <v>0</v>
      </c>
      <c r="AX736" s="1">
        <f t="shared" si="112"/>
        <v>0</v>
      </c>
    </row>
    <row r="737" spans="1:50" s="1" customFormat="1" ht="24.95" customHeight="1" outlineLevel="3" x14ac:dyDescent="0.2">
      <c r="A737" s="21"/>
      <c r="B737" s="22">
        <v>430</v>
      </c>
      <c r="C737" s="22">
        <v>640</v>
      </c>
      <c r="D737" s="22">
        <v>12717</v>
      </c>
      <c r="E737" s="23" t="s">
        <v>559</v>
      </c>
      <c r="F737" s="23" t="s">
        <v>2368</v>
      </c>
      <c r="G737" s="23" t="s">
        <v>86</v>
      </c>
      <c r="H737" s="23" t="s">
        <v>40</v>
      </c>
      <c r="I737" s="22">
        <v>2025</v>
      </c>
      <c r="J737" s="23" t="s">
        <v>2369</v>
      </c>
      <c r="K737" s="22">
        <v>9785001391425</v>
      </c>
      <c r="L737" s="23" t="s">
        <v>2370</v>
      </c>
      <c r="M737" s="22">
        <v>648</v>
      </c>
      <c r="N737" s="24">
        <v>0.42</v>
      </c>
      <c r="O737" s="22">
        <v>115</v>
      </c>
      <c r="P737" s="22">
        <v>165</v>
      </c>
      <c r="Q737" s="22">
        <v>16</v>
      </c>
      <c r="R737" s="23" t="s">
        <v>75</v>
      </c>
      <c r="S737" s="23" t="s">
        <v>596</v>
      </c>
      <c r="T737" s="25">
        <v>2000</v>
      </c>
      <c r="U737" s="23" t="s">
        <v>44</v>
      </c>
      <c r="V737" s="23" t="s">
        <v>59</v>
      </c>
      <c r="W737" s="22">
        <v>10</v>
      </c>
      <c r="X737" s="35" t="str">
        <f>HYPERLINK("https://www.alpinabook.ru/catalog/book-kosmos","ссылка на книгу")</f>
        <v>ссылка на книгу</v>
      </c>
      <c r="Y737" s="36" t="str">
        <f>HYPERLINK("https://api-enni.alpina.ru/FilePrivilegesApproval/131","https://api-enni.alpina.ru/FilePrivilegesApproval/131")</f>
        <v>https://api-enni.alpina.ru/FilePrivilegesApproval/131</v>
      </c>
      <c r="Z737" s="23" t="s">
        <v>1342</v>
      </c>
      <c r="AT737" s="1">
        <f t="shared" si="108"/>
        <v>0</v>
      </c>
      <c r="AU737" s="1">
        <f t="shared" si="109"/>
        <v>0</v>
      </c>
      <c r="AV737" s="1">
        <f t="shared" si="110"/>
        <v>0</v>
      </c>
      <c r="AW737" s="1">
        <f t="shared" si="111"/>
        <v>0</v>
      </c>
      <c r="AX737" s="1">
        <f t="shared" si="112"/>
        <v>0</v>
      </c>
    </row>
    <row r="738" spans="1:50" s="1" customFormat="1" ht="24.95" customHeight="1" outlineLevel="3" x14ac:dyDescent="0.2">
      <c r="A738" s="21"/>
      <c r="B738" s="25">
        <v>2290</v>
      </c>
      <c r="C738" s="25">
        <v>2890</v>
      </c>
      <c r="D738" s="22">
        <v>7726</v>
      </c>
      <c r="E738" s="23" t="s">
        <v>559</v>
      </c>
      <c r="F738" s="23" t="s">
        <v>2371</v>
      </c>
      <c r="G738" s="23" t="s">
        <v>86</v>
      </c>
      <c r="H738" s="23" t="s">
        <v>40</v>
      </c>
      <c r="I738" s="22">
        <v>2025</v>
      </c>
      <c r="J738" s="23" t="s">
        <v>2372</v>
      </c>
      <c r="K738" s="22">
        <v>9785916710007</v>
      </c>
      <c r="L738" s="23" t="s">
        <v>2373</v>
      </c>
      <c r="M738" s="22">
        <v>558</v>
      </c>
      <c r="N738" s="24">
        <v>1.46</v>
      </c>
      <c r="O738" s="22">
        <v>200</v>
      </c>
      <c r="P738" s="22">
        <v>240</v>
      </c>
      <c r="Q738" s="22">
        <v>3</v>
      </c>
      <c r="R738" s="23" t="s">
        <v>300</v>
      </c>
      <c r="S738" s="23"/>
      <c r="T738" s="25">
        <v>3000</v>
      </c>
      <c r="U738" s="23" t="s">
        <v>52</v>
      </c>
      <c r="V738" s="23" t="s">
        <v>45</v>
      </c>
      <c r="W738" s="22">
        <v>10</v>
      </c>
      <c r="X738" s="35" t="str">
        <f>HYPERLINK("https://www.alpinabook.ru/catalog/book-kosmos","ссылка на книгу")</f>
        <v>ссылка на книгу</v>
      </c>
      <c r="Y738" s="36" t="str">
        <f>HYPERLINK("https://api-enni.alpina.ru/FilePrivilegesApproval/131","https://api-enni.alpina.ru/FilePrivilegesApproval/131")</f>
        <v>https://api-enni.alpina.ru/FilePrivilegesApproval/131</v>
      </c>
      <c r="Z738" s="23" t="s">
        <v>847</v>
      </c>
      <c r="AT738" s="1">
        <f t="shared" si="108"/>
        <v>0</v>
      </c>
      <c r="AU738" s="1">
        <f t="shared" si="109"/>
        <v>0</v>
      </c>
      <c r="AV738" s="1">
        <f t="shared" si="110"/>
        <v>0</v>
      </c>
      <c r="AW738" s="1">
        <f t="shared" si="111"/>
        <v>0</v>
      </c>
      <c r="AX738" s="1">
        <f t="shared" si="112"/>
        <v>0</v>
      </c>
    </row>
    <row r="739" spans="1:50" s="1" customFormat="1" ht="24.95" customHeight="1" outlineLevel="3" x14ac:dyDescent="0.2">
      <c r="A739" s="21"/>
      <c r="B739" s="22">
        <v>440</v>
      </c>
      <c r="C739" s="22">
        <v>690</v>
      </c>
      <c r="D739" s="22">
        <v>24046</v>
      </c>
      <c r="E739" s="23" t="s">
        <v>2374</v>
      </c>
      <c r="F739" s="23" t="s">
        <v>2375</v>
      </c>
      <c r="G739" s="23" t="s">
        <v>86</v>
      </c>
      <c r="H739" s="23" t="s">
        <v>40</v>
      </c>
      <c r="I739" s="22">
        <v>2023</v>
      </c>
      <c r="J739" s="23" t="s">
        <v>2376</v>
      </c>
      <c r="K739" s="22">
        <v>9785001398202</v>
      </c>
      <c r="L739" s="23" t="s">
        <v>2377</v>
      </c>
      <c r="M739" s="22">
        <v>336</v>
      </c>
      <c r="N739" s="24">
        <v>0.22</v>
      </c>
      <c r="O739" s="22">
        <v>120</v>
      </c>
      <c r="P739" s="22">
        <v>170</v>
      </c>
      <c r="Q739" s="22">
        <v>8</v>
      </c>
      <c r="R739" s="23" t="s">
        <v>75</v>
      </c>
      <c r="S739" s="23"/>
      <c r="T739" s="25">
        <v>7000</v>
      </c>
      <c r="U739" s="23" t="s">
        <v>44</v>
      </c>
      <c r="V739" s="23" t="s">
        <v>45</v>
      </c>
      <c r="W739" s="22">
        <v>10</v>
      </c>
      <c r="X739" s="35" t="str">
        <f>HYPERLINK("https://www.alpinabook.ru/catalog/book-kratchayshaya-istoriya-sovetskogo-soyuza","ссылка на книгу")</f>
        <v>ссылка на книгу</v>
      </c>
      <c r="Y739" s="36" t="str">
        <f>HYPERLINK("https://api-enni.alpina.ru/FilePrivilegesApproval/298","https://api-enni.alpina.ru/FilePrivilegesApproval/298")</f>
        <v>https://api-enni.alpina.ru/FilePrivilegesApproval/298</v>
      </c>
      <c r="Z739" s="23"/>
      <c r="AT739" s="1">
        <f t="shared" si="108"/>
        <v>0</v>
      </c>
      <c r="AU739" s="1">
        <f t="shared" si="109"/>
        <v>0</v>
      </c>
      <c r="AV739" s="1">
        <f t="shared" si="110"/>
        <v>0</v>
      </c>
      <c r="AW739" s="1">
        <f t="shared" si="111"/>
        <v>0</v>
      </c>
      <c r="AX739" s="1">
        <f t="shared" si="112"/>
        <v>0</v>
      </c>
    </row>
    <row r="740" spans="1:50" s="1" customFormat="1" ht="24.95" customHeight="1" outlineLevel="3" x14ac:dyDescent="0.2">
      <c r="A740" s="21"/>
      <c r="B740" s="25">
        <v>1190</v>
      </c>
      <c r="C740" s="25">
        <v>1490</v>
      </c>
      <c r="D740" s="22">
        <v>25487</v>
      </c>
      <c r="E740" s="23" t="s">
        <v>2378</v>
      </c>
      <c r="F740" s="23" t="s">
        <v>2379</v>
      </c>
      <c r="G740" s="23" t="s">
        <v>86</v>
      </c>
      <c r="H740" s="23" t="s">
        <v>40</v>
      </c>
      <c r="I740" s="22">
        <v>2024</v>
      </c>
      <c r="J740" s="23" t="s">
        <v>2380</v>
      </c>
      <c r="K740" s="22">
        <v>9785001396802</v>
      </c>
      <c r="L740" s="23" t="s">
        <v>2381</v>
      </c>
      <c r="M740" s="22">
        <v>552</v>
      </c>
      <c r="N740" s="24">
        <v>0.78</v>
      </c>
      <c r="O740" s="22">
        <v>170</v>
      </c>
      <c r="P740" s="22">
        <v>250</v>
      </c>
      <c r="Q740" s="22">
        <v>4</v>
      </c>
      <c r="R740" s="23" t="s">
        <v>94</v>
      </c>
      <c r="S740" s="23"/>
      <c r="T740" s="25">
        <v>4000</v>
      </c>
      <c r="U740" s="23" t="s">
        <v>52</v>
      </c>
      <c r="V740" s="23" t="s">
        <v>269</v>
      </c>
      <c r="W740" s="22">
        <v>10</v>
      </c>
      <c r="X740" s="35" t="str">
        <f>HYPERLINK("https://www.alpinabook.ru/catalog/book-krestonostsy-polnaya-istoriya","ссылка на книгу")</f>
        <v>ссылка на книгу</v>
      </c>
      <c r="Y740" s="36" t="str">
        <f>HYPERLINK("https://api-enni.alpina.ru/FilePrivilegesApproval/330","https://api-enni.alpina.ru/FilePrivilegesApproval/330")</f>
        <v>https://api-enni.alpina.ru/FilePrivilegesApproval/330</v>
      </c>
      <c r="Z740" s="23"/>
      <c r="AT740" s="1">
        <f t="shared" si="108"/>
        <v>0</v>
      </c>
      <c r="AU740" s="1">
        <f t="shared" si="109"/>
        <v>0</v>
      </c>
      <c r="AV740" s="1">
        <f t="shared" si="110"/>
        <v>0</v>
      </c>
      <c r="AW740" s="1">
        <f t="shared" si="111"/>
        <v>0</v>
      </c>
      <c r="AX740" s="1">
        <f t="shared" si="112"/>
        <v>0</v>
      </c>
    </row>
    <row r="741" spans="1:50" s="1" customFormat="1" ht="24.95" customHeight="1" outlineLevel="3" x14ac:dyDescent="0.2">
      <c r="A741" s="21"/>
      <c r="B741" s="22">
        <v>340</v>
      </c>
      <c r="C741" s="22">
        <v>540</v>
      </c>
      <c r="D741" s="22">
        <v>18327</v>
      </c>
      <c r="E741" s="23" t="s">
        <v>317</v>
      </c>
      <c r="F741" s="23" t="s">
        <v>2382</v>
      </c>
      <c r="G741" s="23" t="s">
        <v>86</v>
      </c>
      <c r="H741" s="23" t="s">
        <v>40</v>
      </c>
      <c r="I741" s="22">
        <v>2025</v>
      </c>
      <c r="J741" s="23" t="s">
        <v>2383</v>
      </c>
      <c r="K741" s="22">
        <v>9785001392750</v>
      </c>
      <c r="L741" s="23" t="s">
        <v>2384</v>
      </c>
      <c r="M741" s="22">
        <v>280</v>
      </c>
      <c r="N741" s="24">
        <v>0.19</v>
      </c>
      <c r="O741" s="22">
        <v>115</v>
      </c>
      <c r="P741" s="22">
        <v>165</v>
      </c>
      <c r="Q741" s="22">
        <v>10</v>
      </c>
      <c r="R741" s="23" t="s">
        <v>75</v>
      </c>
      <c r="S741" s="23" t="s">
        <v>596</v>
      </c>
      <c r="T741" s="25">
        <v>4000</v>
      </c>
      <c r="U741" s="23" t="s">
        <v>44</v>
      </c>
      <c r="V741" s="23" t="s">
        <v>45</v>
      </c>
      <c r="W741" s="22">
        <v>10</v>
      </c>
      <c r="X741" s="35" t="str">
        <f>HYPERLINK("https://www.alpinabook.ru/catalog/book-kto-my-takie","ссылка на книгу")</f>
        <v>ссылка на книгу</v>
      </c>
      <c r="Y741" s="36" t="str">
        <f>HYPERLINK("https://api-enni.alpina.ru/FilePrivilegesApproval/131","https://api-enni.alpina.ru/FilePrivilegesApproval/131")</f>
        <v>https://api-enni.alpina.ru/FilePrivilegesApproval/131</v>
      </c>
      <c r="Z741" s="23"/>
      <c r="AT741" s="1">
        <f t="shared" si="108"/>
        <v>0</v>
      </c>
      <c r="AU741" s="1">
        <f t="shared" si="109"/>
        <v>0</v>
      </c>
      <c r="AV741" s="1">
        <f t="shared" si="110"/>
        <v>0</v>
      </c>
      <c r="AW741" s="1">
        <f t="shared" si="111"/>
        <v>0</v>
      </c>
      <c r="AX741" s="1">
        <f t="shared" si="112"/>
        <v>0</v>
      </c>
    </row>
    <row r="742" spans="1:50" s="1" customFormat="1" ht="24.95" customHeight="1" outlineLevel="3" x14ac:dyDescent="0.2">
      <c r="A742" s="21"/>
      <c r="B742" s="25">
        <v>1290</v>
      </c>
      <c r="C742" s="25">
        <v>1790</v>
      </c>
      <c r="D742" s="22">
        <v>8391</v>
      </c>
      <c r="E742" s="23" t="s">
        <v>2385</v>
      </c>
      <c r="F742" s="23" t="s">
        <v>2386</v>
      </c>
      <c r="G742" s="23" t="s">
        <v>86</v>
      </c>
      <c r="H742" s="23" t="s">
        <v>40</v>
      </c>
      <c r="I742" s="22">
        <v>2023</v>
      </c>
      <c r="J742" s="23" t="s">
        <v>2387</v>
      </c>
      <c r="K742" s="22">
        <v>9785001391715</v>
      </c>
      <c r="L742" s="23" t="s">
        <v>2388</v>
      </c>
      <c r="M742" s="22">
        <v>952</v>
      </c>
      <c r="N742" s="24">
        <v>1.25</v>
      </c>
      <c r="O742" s="22">
        <v>168</v>
      </c>
      <c r="P742" s="22">
        <v>241</v>
      </c>
      <c r="Q742" s="22">
        <v>3</v>
      </c>
      <c r="R742" s="23" t="s">
        <v>94</v>
      </c>
      <c r="S742" s="23"/>
      <c r="T742" s="25">
        <v>5100</v>
      </c>
      <c r="U742" s="23" t="s">
        <v>52</v>
      </c>
      <c r="V742" s="23" t="s">
        <v>89</v>
      </c>
      <c r="W742" s="22">
        <v>10</v>
      </c>
      <c r="X742" s="35" t="str">
        <f>HYPERLINK("https://www.alpinabook.ru/catalog/book-luchshee-v-nas","ссылка на книгу")</f>
        <v>ссылка на книгу</v>
      </c>
      <c r="Y742" s="36" t="str">
        <f>HYPERLINK("https://api-enni.alpina.ru/FilePrivilegesApproval/175","https://api-enni.alpina.ru/FilePrivilegesApproval/175")</f>
        <v>https://api-enni.alpina.ru/FilePrivilegesApproval/175</v>
      </c>
      <c r="Z742" s="23"/>
      <c r="AT742" s="1">
        <f t="shared" si="108"/>
        <v>0</v>
      </c>
      <c r="AU742" s="1">
        <f t="shared" si="109"/>
        <v>0</v>
      </c>
      <c r="AV742" s="1">
        <f t="shared" si="110"/>
        <v>0</v>
      </c>
      <c r="AW742" s="1">
        <f t="shared" si="111"/>
        <v>0</v>
      </c>
      <c r="AX742" s="1">
        <f t="shared" si="112"/>
        <v>0</v>
      </c>
    </row>
    <row r="743" spans="1:50" s="1" customFormat="1" ht="24.95" customHeight="1" outlineLevel="3" x14ac:dyDescent="0.2">
      <c r="A743" s="21"/>
      <c r="B743" s="25">
        <v>1430</v>
      </c>
      <c r="C743" s="25">
        <v>1790</v>
      </c>
      <c r="D743" s="22">
        <v>11303</v>
      </c>
      <c r="E743" s="23" t="s">
        <v>2389</v>
      </c>
      <c r="F743" s="23" t="s">
        <v>2390</v>
      </c>
      <c r="G743" s="23" t="s">
        <v>86</v>
      </c>
      <c r="H743" s="23" t="s">
        <v>40</v>
      </c>
      <c r="I743" s="22">
        <v>2025</v>
      </c>
      <c r="J743" s="23" t="s">
        <v>2391</v>
      </c>
      <c r="K743" s="22">
        <v>9785001393399</v>
      </c>
      <c r="L743" s="23" t="s">
        <v>2392</v>
      </c>
      <c r="M743" s="22">
        <v>460</v>
      </c>
      <c r="N743" s="24">
        <v>0.91</v>
      </c>
      <c r="O743" s="22">
        <v>190</v>
      </c>
      <c r="P743" s="22">
        <v>240</v>
      </c>
      <c r="Q743" s="22">
        <v>4</v>
      </c>
      <c r="R743" s="23" t="s">
        <v>94</v>
      </c>
      <c r="S743" s="23"/>
      <c r="T743" s="25">
        <v>3000</v>
      </c>
      <c r="U743" s="23" t="s">
        <v>52</v>
      </c>
      <c r="V743" s="23" t="s">
        <v>59</v>
      </c>
      <c r="W743" s="22">
        <v>10</v>
      </c>
      <c r="X743" s="35" t="str">
        <f>HYPERLINK("https://www.alpinabook.ru/catalog/book-matematika-s-duratskimi-risunkami","ссылка на книгу")</f>
        <v>ссылка на книгу</v>
      </c>
      <c r="Y743" s="36" t="str">
        <f>HYPERLINK("https://api-enni.alpina.ru/FilePrivilegesApproval/131","https://api-enni.alpina.ru/FilePrivilegesApproval/131")</f>
        <v>https://api-enni.alpina.ru/FilePrivilegesApproval/131</v>
      </c>
      <c r="Z743" s="23" t="s">
        <v>847</v>
      </c>
      <c r="AT743" s="1">
        <f t="shared" si="108"/>
        <v>0</v>
      </c>
      <c r="AU743" s="1">
        <f t="shared" si="109"/>
        <v>0</v>
      </c>
      <c r="AV743" s="1">
        <f t="shared" si="110"/>
        <v>0</v>
      </c>
      <c r="AW743" s="1">
        <f t="shared" si="111"/>
        <v>0</v>
      </c>
      <c r="AX743" s="1">
        <f t="shared" si="112"/>
        <v>0</v>
      </c>
    </row>
    <row r="744" spans="1:50" s="1" customFormat="1" ht="24.95" customHeight="1" outlineLevel="3" x14ac:dyDescent="0.2">
      <c r="A744" s="21"/>
      <c r="B744" s="22">
        <v>390</v>
      </c>
      <c r="C744" s="22">
        <v>690</v>
      </c>
      <c r="D744" s="22">
        <v>11185</v>
      </c>
      <c r="E744" s="23" t="s">
        <v>2316</v>
      </c>
      <c r="F744" s="23" t="s">
        <v>2393</v>
      </c>
      <c r="G744" s="23" t="s">
        <v>86</v>
      </c>
      <c r="H744" s="23" t="s">
        <v>40</v>
      </c>
      <c r="I744" s="22">
        <v>2024</v>
      </c>
      <c r="J744" s="23" t="s">
        <v>2394</v>
      </c>
      <c r="K744" s="22">
        <v>9785001390244</v>
      </c>
      <c r="L744" s="23" t="s">
        <v>2395</v>
      </c>
      <c r="M744" s="22">
        <v>576</v>
      </c>
      <c r="N744" s="24">
        <v>0.37</v>
      </c>
      <c r="O744" s="22">
        <v>110</v>
      </c>
      <c r="P744" s="22">
        <v>170</v>
      </c>
      <c r="Q744" s="22">
        <v>5</v>
      </c>
      <c r="R744" s="23" t="s">
        <v>75</v>
      </c>
      <c r="S744" s="23" t="s">
        <v>596</v>
      </c>
      <c r="T744" s="25">
        <v>10000</v>
      </c>
      <c r="U744" s="23" t="s">
        <v>44</v>
      </c>
      <c r="V744" s="23" t="s">
        <v>45</v>
      </c>
      <c r="W744" s="22">
        <v>10</v>
      </c>
      <c r="X744" s="35" t="str">
        <f>HYPERLINK("https://www.alpinabook.ru/catalog/book-mif-o-krasote","ссылка на книгу")</f>
        <v>ссылка на книгу</v>
      </c>
      <c r="Y744" s="36" t="str">
        <f>HYPERLINK("https://api-enni.alpina.ru/FilePrivilegesApproval/149","https://api-enni.alpina.ru/FilePrivilegesApproval/149")</f>
        <v>https://api-enni.alpina.ru/FilePrivilegesApproval/149</v>
      </c>
      <c r="Z744" s="23"/>
      <c r="AT744" s="1">
        <f t="shared" si="108"/>
        <v>0</v>
      </c>
      <c r="AU744" s="1">
        <f t="shared" si="109"/>
        <v>0</v>
      </c>
      <c r="AV744" s="1">
        <f t="shared" si="110"/>
        <v>0</v>
      </c>
      <c r="AW744" s="1">
        <f t="shared" si="111"/>
        <v>0</v>
      </c>
      <c r="AX744" s="1">
        <f t="shared" si="112"/>
        <v>0</v>
      </c>
    </row>
    <row r="745" spans="1:50" s="1" customFormat="1" ht="24.95" customHeight="1" outlineLevel="3" x14ac:dyDescent="0.2">
      <c r="A745" s="21"/>
      <c r="B745" s="25">
        <v>2390</v>
      </c>
      <c r="C745" s="25">
        <v>2890</v>
      </c>
      <c r="D745" s="22">
        <v>11355</v>
      </c>
      <c r="E745" s="23" t="s">
        <v>568</v>
      </c>
      <c r="F745" s="23" t="s">
        <v>569</v>
      </c>
      <c r="G745" s="23" t="s">
        <v>86</v>
      </c>
      <c r="H745" s="23" t="s">
        <v>40</v>
      </c>
      <c r="I745" s="22">
        <v>2025</v>
      </c>
      <c r="J745" s="23" t="s">
        <v>570</v>
      </c>
      <c r="K745" s="22">
        <v>9785916719710</v>
      </c>
      <c r="L745" s="23" t="s">
        <v>571</v>
      </c>
      <c r="M745" s="22">
        <v>480</v>
      </c>
      <c r="N745" s="24">
        <v>1.2</v>
      </c>
      <c r="O745" s="22">
        <v>190</v>
      </c>
      <c r="P745" s="22">
        <v>240</v>
      </c>
      <c r="Q745" s="22">
        <v>4</v>
      </c>
      <c r="R745" s="23" t="s">
        <v>300</v>
      </c>
      <c r="S745" s="23"/>
      <c r="T745" s="25">
        <v>1500</v>
      </c>
      <c r="U745" s="23" t="s">
        <v>52</v>
      </c>
      <c r="V745" s="23" t="s">
        <v>45</v>
      </c>
      <c r="W745" s="22">
        <v>10</v>
      </c>
      <c r="X745" s="35" t="str">
        <f>HYPERLINK("https://www.alpinabook.ru/catalog/book-mifologiya","ссылка на книгу")</f>
        <v>ссылка на книгу</v>
      </c>
      <c r="Y745" s="36" t="str">
        <f>HYPERLINK("https://api-enni.alpina.ru/FilePrivilegesApproval/146","https://api-enni.alpina.ru/FilePrivilegesApproval/146")</f>
        <v>https://api-enni.alpina.ru/FilePrivilegesApproval/146</v>
      </c>
      <c r="Z745" s="23" t="s">
        <v>53</v>
      </c>
      <c r="AT745" s="1">
        <f t="shared" ref="AT745:AT772" si="113">IF($A745&lt;&gt;0,1,0)</f>
        <v>0</v>
      </c>
      <c r="AU745" s="1">
        <f t="shared" ref="AU745:AU772" si="114">$A745*$B745</f>
        <v>0</v>
      </c>
      <c r="AV745" s="1">
        <f t="shared" ref="AV745:AV772" si="115">$A745*$N745</f>
        <v>0</v>
      </c>
      <c r="AW745" s="1">
        <f t="shared" ref="AW745:AW772" si="116">IF($Q745=0,0,INT($A745/$Q745))</f>
        <v>0</v>
      </c>
      <c r="AX745" s="1">
        <f t="shared" ref="AX745:AX772" si="117">$A745-$AW745*$Q745</f>
        <v>0</v>
      </c>
    </row>
    <row r="746" spans="1:50" s="1" customFormat="1" ht="24.95" customHeight="1" outlineLevel="3" x14ac:dyDescent="0.2">
      <c r="A746" s="21"/>
      <c r="B746" s="22">
        <v>790</v>
      </c>
      <c r="C746" s="25">
        <v>1190</v>
      </c>
      <c r="D746" s="22">
        <v>21096</v>
      </c>
      <c r="E746" s="23" t="s">
        <v>2396</v>
      </c>
      <c r="F746" s="23" t="s">
        <v>2397</v>
      </c>
      <c r="G746" s="23" t="s">
        <v>86</v>
      </c>
      <c r="H746" s="23" t="s">
        <v>40</v>
      </c>
      <c r="I746" s="22">
        <v>2025</v>
      </c>
      <c r="J746" s="23" t="s">
        <v>2398</v>
      </c>
      <c r="K746" s="22">
        <v>9785916719949</v>
      </c>
      <c r="L746" s="23" t="s">
        <v>2399</v>
      </c>
      <c r="M746" s="22">
        <v>430</v>
      </c>
      <c r="N746" s="24">
        <v>0.54</v>
      </c>
      <c r="O746" s="22">
        <v>150</v>
      </c>
      <c r="P746" s="22">
        <v>210</v>
      </c>
      <c r="Q746" s="22">
        <v>10</v>
      </c>
      <c r="R746" s="23" t="s">
        <v>43</v>
      </c>
      <c r="S746" s="23"/>
      <c r="T746" s="25">
        <v>2000</v>
      </c>
      <c r="U746" s="23" t="s">
        <v>604</v>
      </c>
      <c r="V746" s="23" t="s">
        <v>45</v>
      </c>
      <c r="W746" s="22">
        <v>10</v>
      </c>
      <c r="X746" s="35" t="str">
        <f>HYPERLINK("https://www.alpinabook.ru/catalog/book-na-muzyke","ссылка на книгу")</f>
        <v>ссылка на книгу</v>
      </c>
      <c r="Y746" s="36" t="str">
        <f>HYPERLINK("https://api-enni.alpina.ru/FilePrivilegesApproval/146","https://api-enni.alpina.ru/FilePrivilegesApproval/146")</f>
        <v>https://api-enni.alpina.ru/FilePrivilegesApproval/146</v>
      </c>
      <c r="Z746" s="23" t="s">
        <v>2138</v>
      </c>
      <c r="AT746" s="1">
        <f t="shared" si="113"/>
        <v>0</v>
      </c>
      <c r="AU746" s="1">
        <f t="shared" si="114"/>
        <v>0</v>
      </c>
      <c r="AV746" s="1">
        <f t="shared" si="115"/>
        <v>0</v>
      </c>
      <c r="AW746" s="1">
        <f t="shared" si="116"/>
        <v>0</v>
      </c>
      <c r="AX746" s="1">
        <f t="shared" si="117"/>
        <v>0</v>
      </c>
    </row>
    <row r="747" spans="1:50" s="1" customFormat="1" ht="24.95" customHeight="1" outlineLevel="3" x14ac:dyDescent="0.2">
      <c r="A747" s="21"/>
      <c r="B747" s="22">
        <v>890</v>
      </c>
      <c r="C747" s="25">
        <v>1290</v>
      </c>
      <c r="D747" s="22">
        <v>24545</v>
      </c>
      <c r="E747" s="23" t="s">
        <v>2400</v>
      </c>
      <c r="F747" s="23" t="s">
        <v>2401</v>
      </c>
      <c r="G747" s="23" t="s">
        <v>97</v>
      </c>
      <c r="H747" s="23"/>
      <c r="I747" s="22">
        <v>2023</v>
      </c>
      <c r="J747" s="23" t="s">
        <v>2402</v>
      </c>
      <c r="K747" s="22">
        <v>9785907470903</v>
      </c>
      <c r="L747" s="23" t="s">
        <v>2403</v>
      </c>
      <c r="M747" s="22">
        <v>684</v>
      </c>
      <c r="N747" s="24">
        <v>0.97</v>
      </c>
      <c r="O747" s="22">
        <v>153</v>
      </c>
      <c r="P747" s="22">
        <v>216</v>
      </c>
      <c r="Q747" s="22">
        <v>3</v>
      </c>
      <c r="R747" s="23" t="s">
        <v>43</v>
      </c>
      <c r="S747" s="23"/>
      <c r="T747" s="25">
        <v>1000</v>
      </c>
      <c r="U747" s="23" t="s">
        <v>52</v>
      </c>
      <c r="V747" s="23" t="s">
        <v>64</v>
      </c>
      <c r="W747" s="22">
        <v>10</v>
      </c>
      <c r="X747" s="35" t="str">
        <f>HYPERLINK("https://www.alpinabook.ru/catalog/book-naibolee-rasprostranennye-zabluzhdeniya","ссылка на книгу")</f>
        <v>ссылка на книгу</v>
      </c>
      <c r="Y747" s="36" t="str">
        <f>HYPERLINK("https://api-enni.alpina.ru/FilePrivilegesApproval/154","https://api-enni.alpina.ru/FilePrivilegesApproval/154")</f>
        <v>https://api-enni.alpina.ru/FilePrivilegesApproval/154</v>
      </c>
      <c r="Z747" s="23" t="s">
        <v>295</v>
      </c>
      <c r="AT747" s="1">
        <f t="shared" si="113"/>
        <v>0</v>
      </c>
      <c r="AU747" s="1">
        <f t="shared" si="114"/>
        <v>0</v>
      </c>
      <c r="AV747" s="1">
        <f t="shared" si="115"/>
        <v>0</v>
      </c>
      <c r="AW747" s="1">
        <f t="shared" si="116"/>
        <v>0</v>
      </c>
      <c r="AX747" s="1">
        <f t="shared" si="117"/>
        <v>0</v>
      </c>
    </row>
    <row r="748" spans="1:50" s="1" customFormat="1" ht="24.95" customHeight="1" outlineLevel="3" x14ac:dyDescent="0.2">
      <c r="A748" s="21"/>
      <c r="B748" s="25">
        <v>1590</v>
      </c>
      <c r="C748" s="25">
        <v>1990</v>
      </c>
      <c r="D748" s="22">
        <v>11478</v>
      </c>
      <c r="E748" s="23" t="s">
        <v>2404</v>
      </c>
      <c r="F748" s="23" t="s">
        <v>2405</v>
      </c>
      <c r="G748" s="23" t="s">
        <v>86</v>
      </c>
      <c r="H748" s="23" t="s">
        <v>40</v>
      </c>
      <c r="I748" s="22">
        <v>2023</v>
      </c>
      <c r="J748" s="23" t="s">
        <v>2406</v>
      </c>
      <c r="K748" s="22">
        <v>9785001399650</v>
      </c>
      <c r="L748" s="23" t="s">
        <v>2407</v>
      </c>
      <c r="M748" s="22">
        <v>944</v>
      </c>
      <c r="N748" s="24">
        <v>1.3</v>
      </c>
      <c r="O748" s="22">
        <v>170</v>
      </c>
      <c r="P748" s="22">
        <v>250</v>
      </c>
      <c r="Q748" s="22">
        <v>3</v>
      </c>
      <c r="R748" s="23" t="s">
        <v>94</v>
      </c>
      <c r="S748" s="23"/>
      <c r="T748" s="25">
        <v>6000</v>
      </c>
      <c r="U748" s="23" t="s">
        <v>52</v>
      </c>
      <c r="V748" s="23" t="s">
        <v>45</v>
      </c>
      <c r="W748" s="22">
        <v>10</v>
      </c>
      <c r="X748" s="35" t="str">
        <f>HYPERLINK("https://www.alpinabook.ru/catalog/book-napoleon","ссылка на книгу")</f>
        <v>ссылка на книгу</v>
      </c>
      <c r="Y748" s="36" t="str">
        <f>HYPERLINK("https://api-enni.alpina.ru/FilePrivilegesApproval/225","https://api-enni.alpina.ru/FilePrivilegesApproval/225")</f>
        <v>https://api-enni.alpina.ru/FilePrivilegesApproval/225</v>
      </c>
      <c r="Z748" s="23"/>
      <c r="AT748" s="1">
        <f t="shared" si="113"/>
        <v>0</v>
      </c>
      <c r="AU748" s="1">
        <f t="shared" si="114"/>
        <v>0</v>
      </c>
      <c r="AV748" s="1">
        <f t="shared" si="115"/>
        <v>0</v>
      </c>
      <c r="AW748" s="1">
        <f t="shared" si="116"/>
        <v>0</v>
      </c>
      <c r="AX748" s="1">
        <f t="shared" si="117"/>
        <v>0</v>
      </c>
    </row>
    <row r="749" spans="1:50" s="1" customFormat="1" ht="24.95" customHeight="1" outlineLevel="3" x14ac:dyDescent="0.2">
      <c r="A749" s="21"/>
      <c r="B749" s="22">
        <v>990</v>
      </c>
      <c r="C749" s="25">
        <v>1290</v>
      </c>
      <c r="D749" s="22">
        <v>18844</v>
      </c>
      <c r="E749" s="23" t="s">
        <v>2408</v>
      </c>
      <c r="F749" s="23" t="s">
        <v>2409</v>
      </c>
      <c r="G749" s="23" t="s">
        <v>86</v>
      </c>
      <c r="H749" s="23" t="s">
        <v>40</v>
      </c>
      <c r="I749" s="22">
        <v>2025</v>
      </c>
      <c r="J749" s="23" t="s">
        <v>2410</v>
      </c>
      <c r="K749" s="22">
        <v>9785001398691</v>
      </c>
      <c r="L749" s="23" t="s">
        <v>2411</v>
      </c>
      <c r="M749" s="22">
        <v>600</v>
      </c>
      <c r="N749" s="24">
        <v>0.84</v>
      </c>
      <c r="O749" s="22">
        <v>150</v>
      </c>
      <c r="P749" s="22">
        <v>220</v>
      </c>
      <c r="Q749" s="22">
        <v>6</v>
      </c>
      <c r="R749" s="23" t="s">
        <v>43</v>
      </c>
      <c r="S749" s="23"/>
      <c r="T749" s="25">
        <v>1500</v>
      </c>
      <c r="U749" s="23" t="s">
        <v>52</v>
      </c>
      <c r="V749" s="23" t="s">
        <v>59</v>
      </c>
      <c r="W749" s="22">
        <v>10</v>
      </c>
      <c r="X749" s="35" t="str">
        <f>HYPERLINK("https://www.alpinabook.ru/catalog/book-neobyatnyy-mir","ссылка на книгу")</f>
        <v>ссылка на книгу</v>
      </c>
      <c r="Y749" s="36" t="str">
        <f>HYPERLINK("https://api-enni.alpina.ru/FilePrivilegesApproval/323","https://api-enni.alpina.ru/FilePrivilegesApproval/323")</f>
        <v>https://api-enni.alpina.ru/FilePrivilegesApproval/323</v>
      </c>
      <c r="Z749" s="23" t="s">
        <v>321</v>
      </c>
      <c r="AT749" s="1">
        <f t="shared" si="113"/>
        <v>0</v>
      </c>
      <c r="AU749" s="1">
        <f t="shared" si="114"/>
        <v>0</v>
      </c>
      <c r="AV749" s="1">
        <f t="shared" si="115"/>
        <v>0</v>
      </c>
      <c r="AW749" s="1">
        <f t="shared" si="116"/>
        <v>0</v>
      </c>
      <c r="AX749" s="1">
        <f t="shared" si="117"/>
        <v>0</v>
      </c>
    </row>
    <row r="750" spans="1:50" s="1" customFormat="1" ht="24.95" customHeight="1" outlineLevel="3" x14ac:dyDescent="0.2">
      <c r="A750" s="21"/>
      <c r="B750" s="22">
        <v>840</v>
      </c>
      <c r="C750" s="25">
        <v>1490</v>
      </c>
      <c r="D750" s="22">
        <v>22827</v>
      </c>
      <c r="E750" s="23" t="s">
        <v>2412</v>
      </c>
      <c r="F750" s="23" t="s">
        <v>2413</v>
      </c>
      <c r="G750" s="23" t="s">
        <v>86</v>
      </c>
      <c r="H750" s="23" t="s">
        <v>40</v>
      </c>
      <c r="I750" s="22">
        <v>2023</v>
      </c>
      <c r="J750" s="23" t="s">
        <v>2414</v>
      </c>
      <c r="K750" s="22">
        <v>9785002231072</v>
      </c>
      <c r="L750" s="23" t="s">
        <v>2415</v>
      </c>
      <c r="M750" s="22">
        <v>637</v>
      </c>
      <c r="N750" s="24">
        <v>0.9</v>
      </c>
      <c r="O750" s="22">
        <v>170</v>
      </c>
      <c r="P750" s="22">
        <v>240</v>
      </c>
      <c r="Q750" s="22">
        <v>5</v>
      </c>
      <c r="R750" s="23" t="s">
        <v>94</v>
      </c>
      <c r="S750" s="23"/>
      <c r="T750" s="25">
        <v>5000</v>
      </c>
      <c r="U750" s="23" t="s">
        <v>52</v>
      </c>
      <c r="V750" s="23" t="s">
        <v>59</v>
      </c>
      <c r="W750" s="22">
        <v>10</v>
      </c>
      <c r="X750" s="35" t="str">
        <f>HYPERLINK("https://www.alpinabook.ru/catalog/book-peloponnesskaya-voyna","ссылка на книгу")</f>
        <v>ссылка на книгу</v>
      </c>
      <c r="Y750" s="36" t="str">
        <f>HYPERLINK("https://api-enni.alpina.ru/FilePrivilegesApproval/312","https://api-enni.alpina.ru/FilePrivilegesApproval/312")</f>
        <v>https://api-enni.alpina.ru/FilePrivilegesApproval/312</v>
      </c>
      <c r="Z750" s="23"/>
      <c r="AT750" s="1">
        <f t="shared" si="113"/>
        <v>0</v>
      </c>
      <c r="AU750" s="1">
        <f t="shared" si="114"/>
        <v>0</v>
      </c>
      <c r="AV750" s="1">
        <f t="shared" si="115"/>
        <v>0</v>
      </c>
      <c r="AW750" s="1">
        <f t="shared" si="116"/>
        <v>0</v>
      </c>
      <c r="AX750" s="1">
        <f t="shared" si="117"/>
        <v>0</v>
      </c>
    </row>
    <row r="751" spans="1:50" s="1" customFormat="1" ht="24.95" customHeight="1" outlineLevel="3" x14ac:dyDescent="0.2">
      <c r="A751" s="21"/>
      <c r="B751" s="25">
        <v>1190</v>
      </c>
      <c r="C751" s="25">
        <v>1690</v>
      </c>
      <c r="D751" s="22">
        <v>11474</v>
      </c>
      <c r="E751" s="23" t="s">
        <v>2378</v>
      </c>
      <c r="F751" s="23" t="s">
        <v>2416</v>
      </c>
      <c r="G751" s="23" t="s">
        <v>86</v>
      </c>
      <c r="H751" s="23" t="s">
        <v>40</v>
      </c>
      <c r="I751" s="22">
        <v>2023</v>
      </c>
      <c r="J751" s="23" t="s">
        <v>2417</v>
      </c>
      <c r="K751" s="22">
        <v>9785001390794</v>
      </c>
      <c r="L751" s="23" t="s">
        <v>2418</v>
      </c>
      <c r="M751" s="22">
        <v>688</v>
      </c>
      <c r="N751" s="24">
        <v>1.06</v>
      </c>
      <c r="O751" s="22">
        <v>170</v>
      </c>
      <c r="P751" s="22">
        <v>240</v>
      </c>
      <c r="Q751" s="22">
        <v>3</v>
      </c>
      <c r="R751" s="23" t="s">
        <v>94</v>
      </c>
      <c r="S751" s="23"/>
      <c r="T751" s="25">
        <v>1500</v>
      </c>
      <c r="U751" s="23" t="s">
        <v>52</v>
      </c>
      <c r="V751" s="23" t="s">
        <v>45</v>
      </c>
      <c r="W751" s="22">
        <v>10</v>
      </c>
      <c r="X751" s="35" t="str">
        <f>HYPERLINK("https://www.alpinabook.ru/catalog/book-plantagenety","ссылка на книгу")</f>
        <v>ссылка на книгу</v>
      </c>
      <c r="Y751" s="36" t="str">
        <f>HYPERLINK("https://api-enni.alpina.ru/FilePrivilegesApproval/150","https://api-enni.alpina.ru/FilePrivilegesApproval/150")</f>
        <v>https://api-enni.alpina.ru/FilePrivilegesApproval/150</v>
      </c>
      <c r="Z751" s="23" t="s">
        <v>1406</v>
      </c>
      <c r="AT751" s="1">
        <f t="shared" si="113"/>
        <v>0</v>
      </c>
      <c r="AU751" s="1">
        <f t="shared" si="114"/>
        <v>0</v>
      </c>
      <c r="AV751" s="1">
        <f t="shared" si="115"/>
        <v>0</v>
      </c>
      <c r="AW751" s="1">
        <f t="shared" si="116"/>
        <v>0</v>
      </c>
      <c r="AX751" s="1">
        <f t="shared" si="117"/>
        <v>0</v>
      </c>
    </row>
    <row r="752" spans="1:50" s="1" customFormat="1" ht="24.95" customHeight="1" outlineLevel="3" x14ac:dyDescent="0.2">
      <c r="A752" s="21"/>
      <c r="B752" s="22">
        <v>340</v>
      </c>
      <c r="C752" s="22">
        <v>540</v>
      </c>
      <c r="D752" s="22">
        <v>8603</v>
      </c>
      <c r="E752" s="23" t="s">
        <v>2419</v>
      </c>
      <c r="F752" s="23" t="s">
        <v>2420</v>
      </c>
      <c r="G752" s="23" t="s">
        <v>86</v>
      </c>
      <c r="H752" s="23" t="s">
        <v>40</v>
      </c>
      <c r="I752" s="22">
        <v>2022</v>
      </c>
      <c r="J752" s="23" t="s">
        <v>2421</v>
      </c>
      <c r="K752" s="22">
        <v>9785916718614</v>
      </c>
      <c r="L752" s="23" t="s">
        <v>2422</v>
      </c>
      <c r="M752" s="22">
        <v>414</v>
      </c>
      <c r="N752" s="24">
        <v>0.26</v>
      </c>
      <c r="O752" s="22">
        <v>120</v>
      </c>
      <c r="P752" s="22">
        <v>170</v>
      </c>
      <c r="Q752" s="22">
        <v>8</v>
      </c>
      <c r="R752" s="23" t="s">
        <v>75</v>
      </c>
      <c r="S752" s="23" t="s">
        <v>596</v>
      </c>
      <c r="T752" s="25">
        <v>4000</v>
      </c>
      <c r="U752" s="23" t="s">
        <v>44</v>
      </c>
      <c r="V752" s="23" t="s">
        <v>45</v>
      </c>
      <c r="W752" s="22">
        <v>10</v>
      </c>
      <c r="X752" s="35" t="str">
        <f>HYPERLINK("https://www.alpinabook.ru/catalog/book-pochemu-my-lyubim","ссылка на книгу")</f>
        <v>ссылка на книгу</v>
      </c>
      <c r="Y752" s="36" t="str">
        <f>HYPERLINK("https://api-enni.alpina.ru/FilePrivilegesApproval/146","https://api-enni.alpina.ru/FilePrivilegesApproval/146")</f>
        <v>https://api-enni.alpina.ru/FilePrivilegesApproval/146</v>
      </c>
      <c r="Z752" s="23" t="s">
        <v>1640</v>
      </c>
      <c r="AT752" s="1">
        <f t="shared" si="113"/>
        <v>0</v>
      </c>
      <c r="AU752" s="1">
        <f t="shared" si="114"/>
        <v>0</v>
      </c>
      <c r="AV752" s="1">
        <f t="shared" si="115"/>
        <v>0</v>
      </c>
      <c r="AW752" s="1">
        <f t="shared" si="116"/>
        <v>0</v>
      </c>
      <c r="AX752" s="1">
        <f t="shared" si="117"/>
        <v>0</v>
      </c>
    </row>
    <row r="753" spans="1:50" s="1" customFormat="1" ht="24.95" customHeight="1" outlineLevel="3" x14ac:dyDescent="0.2">
      <c r="A753" s="26"/>
      <c r="B753" s="28">
        <v>1190</v>
      </c>
      <c r="C753" s="28">
        <v>1190</v>
      </c>
      <c r="D753" s="27">
        <v>8306</v>
      </c>
      <c r="E753" s="29" t="s">
        <v>2385</v>
      </c>
      <c r="F753" s="29" t="s">
        <v>2423</v>
      </c>
      <c r="G753" s="29" t="s">
        <v>86</v>
      </c>
      <c r="H753" s="29" t="s">
        <v>40</v>
      </c>
      <c r="I753" s="27">
        <v>2021</v>
      </c>
      <c r="J753" s="29" t="s">
        <v>2424</v>
      </c>
      <c r="K753" s="27">
        <v>9785916719994</v>
      </c>
      <c r="L753" s="29" t="s">
        <v>2425</v>
      </c>
      <c r="M753" s="27">
        <v>626</v>
      </c>
      <c r="N753" s="30">
        <v>0.94</v>
      </c>
      <c r="O753" s="27">
        <v>168</v>
      </c>
      <c r="P753" s="27">
        <v>241</v>
      </c>
      <c r="Q753" s="27">
        <v>3</v>
      </c>
      <c r="R753" s="29" t="s">
        <v>94</v>
      </c>
      <c r="S753" s="29"/>
      <c r="T753" s="28">
        <v>10000</v>
      </c>
      <c r="U753" s="29" t="s">
        <v>52</v>
      </c>
      <c r="V753" s="29" t="s">
        <v>45</v>
      </c>
      <c r="W753" s="27">
        <v>10</v>
      </c>
      <c r="X753" s="37" t="str">
        <f>HYPERLINK("https://www.alpinabook.ru/catalog/book-612960","ссылка на книгу")</f>
        <v>ссылка на книгу</v>
      </c>
      <c r="Y753" s="38" t="str">
        <f>HYPERLINK("https://api-enni.alpina.ru/FilePrivilegesApproval/149","https://api-enni.alpina.ru/FilePrivilegesApproval/149")</f>
        <v>https://api-enni.alpina.ru/FilePrivilegesApproval/149</v>
      </c>
      <c r="Z753" s="29"/>
      <c r="AT753" s="1">
        <f t="shared" si="113"/>
        <v>0</v>
      </c>
      <c r="AU753" s="1">
        <f t="shared" si="114"/>
        <v>0</v>
      </c>
      <c r="AV753" s="1">
        <f t="shared" si="115"/>
        <v>0</v>
      </c>
      <c r="AW753" s="1">
        <f t="shared" si="116"/>
        <v>0</v>
      </c>
      <c r="AX753" s="1">
        <f t="shared" si="117"/>
        <v>0</v>
      </c>
    </row>
    <row r="754" spans="1:50" s="1" customFormat="1" ht="24.95" customHeight="1" outlineLevel="3" x14ac:dyDescent="0.2">
      <c r="A754" s="21"/>
      <c r="B754" s="22">
        <v>690</v>
      </c>
      <c r="C754" s="22">
        <v>990</v>
      </c>
      <c r="D754" s="22">
        <v>27375</v>
      </c>
      <c r="E754" s="23" t="s">
        <v>2426</v>
      </c>
      <c r="F754" s="23" t="s">
        <v>2427</v>
      </c>
      <c r="G754" s="23" t="s">
        <v>56</v>
      </c>
      <c r="H754" s="23" t="s">
        <v>434</v>
      </c>
      <c r="I754" s="22">
        <v>2024</v>
      </c>
      <c r="J754" s="23" t="s">
        <v>2428</v>
      </c>
      <c r="K754" s="22">
        <v>9785961484717</v>
      </c>
      <c r="L754" s="23" t="s">
        <v>2429</v>
      </c>
      <c r="M754" s="22">
        <v>346</v>
      </c>
      <c r="N754" s="24">
        <v>0.51</v>
      </c>
      <c r="O754" s="22">
        <v>150</v>
      </c>
      <c r="P754" s="22">
        <v>220</v>
      </c>
      <c r="Q754" s="22">
        <v>12</v>
      </c>
      <c r="R754" s="23" t="s">
        <v>43</v>
      </c>
      <c r="S754" s="23"/>
      <c r="T754" s="25">
        <v>2000</v>
      </c>
      <c r="U754" s="23" t="s">
        <v>52</v>
      </c>
      <c r="V754" s="23" t="s">
        <v>59</v>
      </c>
      <c r="W754" s="22">
        <v>10</v>
      </c>
      <c r="X754" s="35" t="str">
        <f>HYPERLINK("https://www.alpinabook.ru/catalog/book-put-k-suti-veshchey","ссылка на книгу")</f>
        <v>ссылка на книгу</v>
      </c>
      <c r="Y754" s="36" t="str">
        <f>HYPERLINK("https://api-enni.alpina.ru/FilePrivilegesApproval/700","https://api-enni.alpina.ru/FilePrivilegesApproval/700")</f>
        <v>https://api-enni.alpina.ru/FilePrivilegesApproval/700</v>
      </c>
      <c r="Z754" s="23"/>
      <c r="AT754" s="1">
        <f t="shared" si="113"/>
        <v>0</v>
      </c>
      <c r="AU754" s="1">
        <f t="shared" si="114"/>
        <v>0</v>
      </c>
      <c r="AV754" s="1">
        <f t="shared" si="115"/>
        <v>0</v>
      </c>
      <c r="AW754" s="1">
        <f t="shared" si="116"/>
        <v>0</v>
      </c>
      <c r="AX754" s="1">
        <f t="shared" si="117"/>
        <v>0</v>
      </c>
    </row>
    <row r="755" spans="1:50" s="1" customFormat="1" ht="24.95" customHeight="1" outlineLevel="3" x14ac:dyDescent="0.2">
      <c r="A755" s="21"/>
      <c r="B755" s="22">
        <v>340</v>
      </c>
      <c r="C755" s="22">
        <v>540</v>
      </c>
      <c r="D755" s="22">
        <v>27318</v>
      </c>
      <c r="E755" s="23" t="s">
        <v>1818</v>
      </c>
      <c r="F755" s="23" t="s">
        <v>2430</v>
      </c>
      <c r="G755" s="23" t="s">
        <v>56</v>
      </c>
      <c r="H755" s="23" t="s">
        <v>40</v>
      </c>
      <c r="I755" s="22">
        <v>2024</v>
      </c>
      <c r="J755" s="23" t="s">
        <v>2431</v>
      </c>
      <c r="K755" s="22">
        <v>9785961484618</v>
      </c>
      <c r="L755" s="23" t="s">
        <v>2432</v>
      </c>
      <c r="M755" s="22">
        <v>488</v>
      </c>
      <c r="N755" s="24">
        <v>0.3</v>
      </c>
      <c r="O755" s="22">
        <v>120</v>
      </c>
      <c r="P755" s="22">
        <v>170</v>
      </c>
      <c r="Q755" s="22">
        <v>10</v>
      </c>
      <c r="R755" s="23" t="s">
        <v>75</v>
      </c>
      <c r="S755" s="23" t="s">
        <v>76</v>
      </c>
      <c r="T755" s="25">
        <v>2000</v>
      </c>
      <c r="U755" s="23" t="s">
        <v>44</v>
      </c>
      <c r="V755" s="23" t="s">
        <v>89</v>
      </c>
      <c r="W755" s="22">
        <v>10</v>
      </c>
      <c r="X755" s="35" t="str">
        <f>HYPERLINK("https://www.alpinabook.ru/catalog/book-razgovor-s-neznakomtsem","ссылка на книгу")</f>
        <v>ссылка на книгу</v>
      </c>
      <c r="Y755" s="36" t="str">
        <f>HYPERLINK("https://api-enni.alpina.ru/FilePrivilegesApproval/196","https://api-enni.alpina.ru/FilePrivilegesApproval/196")</f>
        <v>https://api-enni.alpina.ru/FilePrivilegesApproval/196</v>
      </c>
      <c r="Z755" s="23"/>
      <c r="AT755" s="1">
        <f t="shared" si="113"/>
        <v>0</v>
      </c>
      <c r="AU755" s="1">
        <f t="shared" si="114"/>
        <v>0</v>
      </c>
      <c r="AV755" s="1">
        <f t="shared" si="115"/>
        <v>0</v>
      </c>
      <c r="AW755" s="1">
        <f t="shared" si="116"/>
        <v>0</v>
      </c>
      <c r="AX755" s="1">
        <f t="shared" si="117"/>
        <v>0</v>
      </c>
    </row>
    <row r="756" spans="1:50" s="1" customFormat="1" ht="24.95" customHeight="1" outlineLevel="3" x14ac:dyDescent="0.2">
      <c r="A756" s="21"/>
      <c r="B756" s="22">
        <v>340</v>
      </c>
      <c r="C756" s="22">
        <v>540</v>
      </c>
      <c r="D756" s="22">
        <v>30261</v>
      </c>
      <c r="E756" s="23" t="s">
        <v>2433</v>
      </c>
      <c r="F756" s="23" t="s">
        <v>2434</v>
      </c>
      <c r="G756" s="23" t="s">
        <v>86</v>
      </c>
      <c r="H756" s="23" t="s">
        <v>40</v>
      </c>
      <c r="I756" s="22">
        <v>2025</v>
      </c>
      <c r="J756" s="23" t="s">
        <v>2435</v>
      </c>
      <c r="K756" s="22">
        <v>9785002232376</v>
      </c>
      <c r="L756" s="23" t="s">
        <v>2436</v>
      </c>
      <c r="M756" s="22">
        <v>384</v>
      </c>
      <c r="N756" s="24">
        <v>0.25</v>
      </c>
      <c r="O756" s="22">
        <v>120</v>
      </c>
      <c r="P756" s="22">
        <v>170</v>
      </c>
      <c r="Q756" s="22">
        <v>16</v>
      </c>
      <c r="R756" s="23" t="s">
        <v>75</v>
      </c>
      <c r="S756" s="23" t="s">
        <v>253</v>
      </c>
      <c r="T756" s="25">
        <v>2000</v>
      </c>
      <c r="U756" s="23" t="s">
        <v>44</v>
      </c>
      <c r="V756" s="23" t="s">
        <v>45</v>
      </c>
      <c r="W756" s="22">
        <v>10</v>
      </c>
      <c r="X756" s="35" t="str">
        <f>HYPERLINK("https://www.alpinabook.ru/catalog/book-rukovodstvo-astronavta-po-zhizni-na-zemle","ссылка на книгу")</f>
        <v>ссылка на книгу</v>
      </c>
      <c r="Y756" s="36" t="str">
        <f>HYPERLINK("https://api-enni.alpina.ru/FilePrivilegesApproval/146","https://api-enni.alpina.ru/FilePrivilegesApproval/146")</f>
        <v>https://api-enni.alpina.ru/FilePrivilegesApproval/146</v>
      </c>
      <c r="Z756" s="23" t="s">
        <v>954</v>
      </c>
      <c r="AT756" s="1">
        <f t="shared" si="113"/>
        <v>0</v>
      </c>
      <c r="AU756" s="1">
        <f t="shared" si="114"/>
        <v>0</v>
      </c>
      <c r="AV756" s="1">
        <f t="shared" si="115"/>
        <v>0</v>
      </c>
      <c r="AW756" s="1">
        <f t="shared" si="116"/>
        <v>0</v>
      </c>
      <c r="AX756" s="1">
        <f t="shared" si="117"/>
        <v>0</v>
      </c>
    </row>
    <row r="757" spans="1:50" s="1" customFormat="1" ht="24.95" customHeight="1" outlineLevel="3" x14ac:dyDescent="0.2">
      <c r="A757" s="21"/>
      <c r="B757" s="22">
        <v>690</v>
      </c>
      <c r="C757" s="22">
        <v>940</v>
      </c>
      <c r="D757" s="22">
        <v>26923</v>
      </c>
      <c r="E757" s="23" t="s">
        <v>2437</v>
      </c>
      <c r="F757" s="23" t="s">
        <v>2438</v>
      </c>
      <c r="G757" s="23" t="s">
        <v>39</v>
      </c>
      <c r="H757" s="23"/>
      <c r="I757" s="22">
        <v>2023</v>
      </c>
      <c r="J757" s="23" t="s">
        <v>2439</v>
      </c>
      <c r="K757" s="22">
        <v>9785001398516</v>
      </c>
      <c r="L757" s="23" t="s">
        <v>2440</v>
      </c>
      <c r="M757" s="22">
        <v>176</v>
      </c>
      <c r="N757" s="24">
        <v>0.44</v>
      </c>
      <c r="O757" s="22">
        <v>170</v>
      </c>
      <c r="P757" s="22">
        <v>220</v>
      </c>
      <c r="Q757" s="22">
        <v>10</v>
      </c>
      <c r="R757" s="23" t="s">
        <v>100</v>
      </c>
      <c r="S757" s="23"/>
      <c r="T757" s="25">
        <v>2000</v>
      </c>
      <c r="U757" s="23" t="s">
        <v>52</v>
      </c>
      <c r="V757" s="23" t="s">
        <v>45</v>
      </c>
      <c r="W757" s="22">
        <v>10</v>
      </c>
      <c r="X757" s="35" t="str">
        <f>HYPERLINK("https://www.alpinabook.ru/catalog/book-russkaya-poema","ссылка на книгу")</f>
        <v>ссылка на книгу</v>
      </c>
      <c r="Y757" s="36" t="str">
        <f>HYPERLINK("https://api-enni.alpina.ru/FilePrivilegesApproval/241","https://api-enni.alpina.ru/FilePrivilegesApproval/241")</f>
        <v>https://api-enni.alpina.ru/FilePrivilegesApproval/241</v>
      </c>
      <c r="Z757" s="23"/>
      <c r="AT757" s="1">
        <f t="shared" si="113"/>
        <v>0</v>
      </c>
      <c r="AU757" s="1">
        <f t="shared" si="114"/>
        <v>0</v>
      </c>
      <c r="AV757" s="1">
        <f t="shared" si="115"/>
        <v>0</v>
      </c>
      <c r="AW757" s="1">
        <f t="shared" si="116"/>
        <v>0</v>
      </c>
      <c r="AX757" s="1">
        <f t="shared" si="117"/>
        <v>0</v>
      </c>
    </row>
    <row r="758" spans="1:50" s="1" customFormat="1" ht="24.95" customHeight="1" outlineLevel="3" x14ac:dyDescent="0.2">
      <c r="A758" s="26"/>
      <c r="B758" s="28">
        <v>1190</v>
      </c>
      <c r="C758" s="28">
        <v>1690</v>
      </c>
      <c r="D758" s="27">
        <v>21178</v>
      </c>
      <c r="E758" s="29" t="s">
        <v>2441</v>
      </c>
      <c r="F758" s="29" t="s">
        <v>2442</v>
      </c>
      <c r="G758" s="29" t="s">
        <v>86</v>
      </c>
      <c r="H758" s="29" t="s">
        <v>40</v>
      </c>
      <c r="I758" s="27">
        <v>2024</v>
      </c>
      <c r="J758" s="29" t="s">
        <v>2443</v>
      </c>
      <c r="K758" s="27">
        <v>9785002230624</v>
      </c>
      <c r="L758" s="29" t="s">
        <v>2444</v>
      </c>
      <c r="M758" s="27">
        <v>576</v>
      </c>
      <c r="N758" s="30">
        <v>0.86</v>
      </c>
      <c r="O758" s="27">
        <v>170</v>
      </c>
      <c r="P758" s="27">
        <v>240</v>
      </c>
      <c r="Q758" s="27">
        <v>5</v>
      </c>
      <c r="R758" s="29" t="s">
        <v>94</v>
      </c>
      <c r="S758" s="29"/>
      <c r="T758" s="28">
        <v>3000</v>
      </c>
      <c r="U758" s="29" t="s">
        <v>52</v>
      </c>
      <c r="V758" s="29" t="s">
        <v>59</v>
      </c>
      <c r="W758" s="27">
        <v>10</v>
      </c>
      <c r="X758" s="37" t="str">
        <f>HYPERLINK("https://www.alpinabook.ru/catalog/book-samye-strannye-v-mire","ссылка на книгу")</f>
        <v>ссылка на книгу</v>
      </c>
      <c r="Y758" s="38" t="str">
        <f>HYPERLINK("https://api-enni.alpina.ru/FilePrivilegesApproval/304","https://api-enni.alpina.ru/FilePrivilegesApproval/304")</f>
        <v>https://api-enni.alpina.ru/FilePrivilegesApproval/304</v>
      </c>
      <c r="Z758" s="29"/>
      <c r="AT758" s="1">
        <f t="shared" si="113"/>
        <v>0</v>
      </c>
      <c r="AU758" s="1">
        <f t="shared" si="114"/>
        <v>0</v>
      </c>
      <c r="AV758" s="1">
        <f t="shared" si="115"/>
        <v>0</v>
      </c>
      <c r="AW758" s="1">
        <f t="shared" si="116"/>
        <v>0</v>
      </c>
      <c r="AX758" s="1">
        <f t="shared" si="117"/>
        <v>0</v>
      </c>
    </row>
    <row r="759" spans="1:50" s="1" customFormat="1" ht="21.95" customHeight="1" outlineLevel="3" x14ac:dyDescent="0.2">
      <c r="A759" s="21"/>
      <c r="B759" s="22">
        <v>490</v>
      </c>
      <c r="C759" s="22">
        <v>690</v>
      </c>
      <c r="D759" s="22">
        <v>23607</v>
      </c>
      <c r="E759" s="23" t="s">
        <v>2445</v>
      </c>
      <c r="F759" s="23" t="s">
        <v>2446</v>
      </c>
      <c r="G759" s="23" t="s">
        <v>86</v>
      </c>
      <c r="H759" s="23" t="s">
        <v>40</v>
      </c>
      <c r="I759" s="22">
        <v>2024</v>
      </c>
      <c r="J759" s="23" t="s">
        <v>2447</v>
      </c>
      <c r="K759" s="22">
        <v>9785001398622</v>
      </c>
      <c r="L759" s="23" t="s">
        <v>2448</v>
      </c>
      <c r="M759" s="22">
        <v>232</v>
      </c>
      <c r="N759" s="24">
        <v>0.19</v>
      </c>
      <c r="O759" s="22">
        <v>120</v>
      </c>
      <c r="P759" s="22">
        <v>170</v>
      </c>
      <c r="Q759" s="22">
        <v>20</v>
      </c>
      <c r="R759" s="23" t="s">
        <v>75</v>
      </c>
      <c r="S759" s="23"/>
      <c r="T759" s="25">
        <v>2000</v>
      </c>
      <c r="U759" s="23" t="s">
        <v>44</v>
      </c>
      <c r="V759" s="23" t="s">
        <v>89</v>
      </c>
      <c r="W759" s="22">
        <v>20</v>
      </c>
      <c r="X759" s="35" t="str">
        <f>HYPERLINK("https://www.alpinabook.ru/catalog/book-seks-v-epokhu-soglasiya","ссылка на книгу")</f>
        <v>ссылка на книгу</v>
      </c>
      <c r="Y759" s="36" t="str">
        <f>HYPERLINK("","")</f>
        <v/>
      </c>
      <c r="Z759" s="23"/>
      <c r="AT759" s="1">
        <f t="shared" si="113"/>
        <v>0</v>
      </c>
      <c r="AU759" s="1">
        <f t="shared" si="114"/>
        <v>0</v>
      </c>
      <c r="AV759" s="1">
        <f t="shared" si="115"/>
        <v>0</v>
      </c>
      <c r="AW759" s="1">
        <f t="shared" si="116"/>
        <v>0</v>
      </c>
      <c r="AX759" s="1">
        <f t="shared" si="117"/>
        <v>0</v>
      </c>
    </row>
    <row r="760" spans="1:50" s="1" customFormat="1" ht="24.95" customHeight="1" outlineLevel="3" x14ac:dyDescent="0.2">
      <c r="A760" s="21"/>
      <c r="B760" s="22">
        <v>540</v>
      </c>
      <c r="C760" s="22">
        <v>790</v>
      </c>
      <c r="D760" s="22">
        <v>23668</v>
      </c>
      <c r="E760" s="23" t="s">
        <v>203</v>
      </c>
      <c r="F760" s="23" t="s">
        <v>2449</v>
      </c>
      <c r="G760" s="23" t="s">
        <v>56</v>
      </c>
      <c r="H760" s="23"/>
      <c r="I760" s="22">
        <v>2025</v>
      </c>
      <c r="J760" s="23" t="s">
        <v>2450</v>
      </c>
      <c r="K760" s="22">
        <v>9785961495829</v>
      </c>
      <c r="L760" s="23" t="s">
        <v>2451</v>
      </c>
      <c r="M760" s="22">
        <v>232</v>
      </c>
      <c r="N760" s="24">
        <v>0.22</v>
      </c>
      <c r="O760" s="22">
        <v>140</v>
      </c>
      <c r="P760" s="22">
        <v>210</v>
      </c>
      <c r="Q760" s="22">
        <v>14</v>
      </c>
      <c r="R760" s="23" t="s">
        <v>43</v>
      </c>
      <c r="S760" s="23"/>
      <c r="T760" s="25">
        <v>3000</v>
      </c>
      <c r="U760" s="23" t="s">
        <v>44</v>
      </c>
      <c r="V760" s="23" t="s">
        <v>45</v>
      </c>
      <c r="W760" s="22">
        <v>10</v>
      </c>
      <c r="X760" s="35" t="str">
        <f>HYPERLINK("https://www.alpinabook.ru/catalog/book-siriyskie-mistiki","ссылка на книгу")</f>
        <v>ссылка на книгу</v>
      </c>
      <c r="Y760" s="36" t="str">
        <f>HYPERLINK("https://api-enni.alpina.ru/FilePrivilegesApproval/428","https://api-enni.alpina.ru/FilePrivilegesApproval/428")</f>
        <v>https://api-enni.alpina.ru/FilePrivilegesApproval/428</v>
      </c>
      <c r="Z760" s="23" t="s">
        <v>865</v>
      </c>
      <c r="AT760" s="1">
        <f t="shared" si="113"/>
        <v>0</v>
      </c>
      <c r="AU760" s="1">
        <f t="shared" si="114"/>
        <v>0</v>
      </c>
      <c r="AV760" s="1">
        <f t="shared" si="115"/>
        <v>0</v>
      </c>
      <c r="AW760" s="1">
        <f t="shared" si="116"/>
        <v>0</v>
      </c>
      <c r="AX760" s="1">
        <f t="shared" si="117"/>
        <v>0</v>
      </c>
    </row>
    <row r="761" spans="1:50" s="1" customFormat="1" ht="24.95" customHeight="1" outlineLevel="3" x14ac:dyDescent="0.2">
      <c r="A761" s="21"/>
      <c r="B761" s="22">
        <v>640</v>
      </c>
      <c r="C761" s="22">
        <v>940</v>
      </c>
      <c r="D761" s="22">
        <v>32965</v>
      </c>
      <c r="E761" s="23" t="s">
        <v>203</v>
      </c>
      <c r="F761" s="23" t="s">
        <v>204</v>
      </c>
      <c r="G761" s="23" t="s">
        <v>56</v>
      </c>
      <c r="H761" s="23"/>
      <c r="I761" s="22">
        <v>2025</v>
      </c>
      <c r="J761" s="23" t="s">
        <v>205</v>
      </c>
      <c r="K761" s="22">
        <v>9785006303539</v>
      </c>
      <c r="L761" s="23" t="s">
        <v>206</v>
      </c>
      <c r="M761" s="22">
        <v>264</v>
      </c>
      <c r="N761" s="24">
        <v>0.32</v>
      </c>
      <c r="O761" s="22">
        <v>150</v>
      </c>
      <c r="P761" s="22">
        <v>220</v>
      </c>
      <c r="Q761" s="22">
        <v>14</v>
      </c>
      <c r="R761" s="23" t="s">
        <v>43</v>
      </c>
      <c r="S761" s="23"/>
      <c r="T761" s="25">
        <v>2000</v>
      </c>
      <c r="U761" s="23" t="s">
        <v>52</v>
      </c>
      <c r="V761" s="23" t="s">
        <v>45</v>
      </c>
      <c r="W761" s="22">
        <v>10</v>
      </c>
      <c r="X761" s="35" t="str">
        <f>HYPERLINK("https://www.alpinabook.ru/catalog/book-siriyskie-mistiki","ссылка на книгу")</f>
        <v>ссылка на книгу</v>
      </c>
      <c r="Y761" s="36" t="str">
        <f>HYPERLINK("https://api-enni.alpina.ru/FilePrivilegesApproval/831","https://api-enni.alpina.ru/FilePrivilegesApproval/831")</f>
        <v>https://api-enni.alpina.ru/FilePrivilegesApproval/831</v>
      </c>
      <c r="Z761" s="23" t="s">
        <v>77</v>
      </c>
      <c r="AT761" s="1">
        <f t="shared" si="113"/>
        <v>0</v>
      </c>
      <c r="AU761" s="1">
        <f t="shared" si="114"/>
        <v>0</v>
      </c>
      <c r="AV761" s="1">
        <f t="shared" si="115"/>
        <v>0</v>
      </c>
      <c r="AW761" s="1">
        <f t="shared" si="116"/>
        <v>0</v>
      </c>
      <c r="AX761" s="1">
        <f t="shared" si="117"/>
        <v>0</v>
      </c>
    </row>
    <row r="762" spans="1:50" s="1" customFormat="1" ht="24.95" customHeight="1" outlineLevel="3" x14ac:dyDescent="0.2">
      <c r="A762" s="21"/>
      <c r="B762" s="22">
        <v>690</v>
      </c>
      <c r="C762" s="22">
        <v>990</v>
      </c>
      <c r="D762" s="22">
        <v>28271</v>
      </c>
      <c r="E762" s="23" t="s">
        <v>2452</v>
      </c>
      <c r="F762" s="23" t="s">
        <v>2453</v>
      </c>
      <c r="G762" s="23" t="s">
        <v>56</v>
      </c>
      <c r="H762" s="23" t="s">
        <v>40</v>
      </c>
      <c r="I762" s="22">
        <v>2025</v>
      </c>
      <c r="J762" s="23" t="s">
        <v>2454</v>
      </c>
      <c r="K762" s="22">
        <v>9785961487640</v>
      </c>
      <c r="L762" s="23" t="s">
        <v>2455</v>
      </c>
      <c r="M762" s="22">
        <v>446</v>
      </c>
      <c r="N762" s="24">
        <v>0.55000000000000004</v>
      </c>
      <c r="O762" s="22">
        <v>140</v>
      </c>
      <c r="P762" s="22">
        <v>210</v>
      </c>
      <c r="Q762" s="22">
        <v>8</v>
      </c>
      <c r="R762" s="23" t="s">
        <v>43</v>
      </c>
      <c r="S762" s="23"/>
      <c r="T762" s="25">
        <v>2500</v>
      </c>
      <c r="U762" s="23" t="s">
        <v>44</v>
      </c>
      <c r="V762" s="23" t="s">
        <v>45</v>
      </c>
      <c r="W762" s="22">
        <v>10</v>
      </c>
      <c r="X762" s="35" t="str">
        <f>HYPERLINK("https://www.alpinabook.ru/catalog/book-strakh-lyubov-i-propaganda","ссылка на книгу")</f>
        <v>ссылка на книгу</v>
      </c>
      <c r="Y762" s="36" t="str">
        <f>HYPERLINK("https://api-enni.alpina.ru/FilePrivilegesApproval/396","https://api-enni.alpina.ru/FilePrivilegesApproval/396")</f>
        <v>https://api-enni.alpina.ru/FilePrivilegesApproval/396</v>
      </c>
      <c r="Z762" s="23" t="s">
        <v>1943</v>
      </c>
      <c r="AT762" s="1">
        <f t="shared" si="113"/>
        <v>0</v>
      </c>
      <c r="AU762" s="1">
        <f t="shared" si="114"/>
        <v>0</v>
      </c>
      <c r="AV762" s="1">
        <f t="shared" si="115"/>
        <v>0</v>
      </c>
      <c r="AW762" s="1">
        <f t="shared" si="116"/>
        <v>0</v>
      </c>
      <c r="AX762" s="1">
        <f t="shared" si="117"/>
        <v>0</v>
      </c>
    </row>
    <row r="763" spans="1:50" s="1" customFormat="1" ht="24.95" customHeight="1" outlineLevel="3" x14ac:dyDescent="0.2">
      <c r="A763" s="21"/>
      <c r="B763" s="22">
        <v>440</v>
      </c>
      <c r="C763" s="22">
        <v>690</v>
      </c>
      <c r="D763" s="22">
        <v>9112</v>
      </c>
      <c r="E763" s="23" t="s">
        <v>592</v>
      </c>
      <c r="F763" s="23" t="s">
        <v>2456</v>
      </c>
      <c r="G763" s="23" t="s">
        <v>86</v>
      </c>
      <c r="H763" s="23" t="s">
        <v>40</v>
      </c>
      <c r="I763" s="22">
        <v>2025</v>
      </c>
      <c r="J763" s="23" t="s">
        <v>2457</v>
      </c>
      <c r="K763" s="22">
        <v>9785916719376</v>
      </c>
      <c r="L763" s="23" t="s">
        <v>2458</v>
      </c>
      <c r="M763" s="22">
        <v>624</v>
      </c>
      <c r="N763" s="24">
        <v>0.4</v>
      </c>
      <c r="O763" s="22">
        <v>115</v>
      </c>
      <c r="P763" s="22">
        <v>165</v>
      </c>
      <c r="Q763" s="22">
        <v>20</v>
      </c>
      <c r="R763" s="23" t="s">
        <v>75</v>
      </c>
      <c r="S763" s="23" t="s">
        <v>596</v>
      </c>
      <c r="T763" s="25">
        <v>2000</v>
      </c>
      <c r="U763" s="23" t="s">
        <v>44</v>
      </c>
      <c r="V763" s="23" t="s">
        <v>59</v>
      </c>
      <c r="W763" s="22">
        <v>10</v>
      </c>
      <c r="X763" s="35" t="str">
        <f>HYPERLINK("https://www.alpinabook.ru/catalog/book-struktura-realnosti","ссылка на книгу")</f>
        <v>ссылка на книгу</v>
      </c>
      <c r="Y763" s="36" t="str">
        <f>HYPERLINK("https://api-enni.alpina.ru/FilePrivilegesApproval/131","https://api-enni.alpina.ru/FilePrivilegesApproval/131")</f>
        <v>https://api-enni.alpina.ru/FilePrivilegesApproval/131</v>
      </c>
      <c r="Z763" s="23" t="s">
        <v>321</v>
      </c>
      <c r="AT763" s="1">
        <f t="shared" si="113"/>
        <v>0</v>
      </c>
      <c r="AU763" s="1">
        <f t="shared" si="114"/>
        <v>0</v>
      </c>
      <c r="AV763" s="1">
        <f t="shared" si="115"/>
        <v>0</v>
      </c>
      <c r="AW763" s="1">
        <f t="shared" si="116"/>
        <v>0</v>
      </c>
      <c r="AX763" s="1">
        <f t="shared" si="117"/>
        <v>0</v>
      </c>
    </row>
    <row r="764" spans="1:50" s="1" customFormat="1" ht="24.95" customHeight="1" outlineLevel="3" x14ac:dyDescent="0.2">
      <c r="A764" s="21"/>
      <c r="B764" s="22">
        <v>240</v>
      </c>
      <c r="C764" s="22">
        <v>440</v>
      </c>
      <c r="D764" s="22">
        <v>30902</v>
      </c>
      <c r="E764" s="23" t="s">
        <v>84</v>
      </c>
      <c r="F764" s="23" t="s">
        <v>2459</v>
      </c>
      <c r="G764" s="23" t="s">
        <v>86</v>
      </c>
      <c r="H764" s="23"/>
      <c r="I764" s="22">
        <v>2024</v>
      </c>
      <c r="J764" s="23" t="s">
        <v>2460</v>
      </c>
      <c r="K764" s="22">
        <v>9785002233052</v>
      </c>
      <c r="L764" s="23" t="s">
        <v>2461</v>
      </c>
      <c r="M764" s="22">
        <v>160</v>
      </c>
      <c r="N764" s="24">
        <v>0.11</v>
      </c>
      <c r="O764" s="22">
        <v>120</v>
      </c>
      <c r="P764" s="22">
        <v>170</v>
      </c>
      <c r="Q764" s="22">
        <v>16</v>
      </c>
      <c r="R764" s="23" t="s">
        <v>75</v>
      </c>
      <c r="S764" s="23" t="s">
        <v>76</v>
      </c>
      <c r="T764" s="25">
        <v>4000</v>
      </c>
      <c r="U764" s="23" t="s">
        <v>44</v>
      </c>
      <c r="V764" s="23" t="s">
        <v>45</v>
      </c>
      <c r="W764" s="22">
        <v>10</v>
      </c>
      <c r="X764" s="35" t="str">
        <f>HYPERLINK("https://www.alpinabook.ru/catalog/book-schastlivaya-zhizn","ссылка на книгу")</f>
        <v>ссылка на книгу</v>
      </c>
      <c r="Y764" s="36" t="str">
        <f>HYPERLINK("https://api-enni.alpina.ru/FilePrivilegesApproval/131","https://api-enni.alpina.ru/FilePrivilegesApproval/131")</f>
        <v>https://api-enni.alpina.ru/FilePrivilegesApproval/131</v>
      </c>
      <c r="Z764" s="23"/>
      <c r="AT764" s="1">
        <f t="shared" si="113"/>
        <v>0</v>
      </c>
      <c r="AU764" s="1">
        <f t="shared" si="114"/>
        <v>0</v>
      </c>
      <c r="AV764" s="1">
        <f t="shared" si="115"/>
        <v>0</v>
      </c>
      <c r="AW764" s="1">
        <f t="shared" si="116"/>
        <v>0</v>
      </c>
      <c r="AX764" s="1">
        <f t="shared" si="117"/>
        <v>0</v>
      </c>
    </row>
    <row r="765" spans="1:50" s="1" customFormat="1" ht="24.95" customHeight="1" outlineLevel="3" x14ac:dyDescent="0.2">
      <c r="A765" s="21"/>
      <c r="B765" s="22">
        <v>340</v>
      </c>
      <c r="C765" s="22">
        <v>540</v>
      </c>
      <c r="D765" s="22">
        <v>28839</v>
      </c>
      <c r="E765" s="23" t="s">
        <v>2360</v>
      </c>
      <c r="F765" s="23" t="s">
        <v>2462</v>
      </c>
      <c r="G765" s="23" t="s">
        <v>86</v>
      </c>
      <c r="H765" s="23" t="s">
        <v>40</v>
      </c>
      <c r="I765" s="22">
        <v>2025</v>
      </c>
      <c r="J765" s="23" t="s">
        <v>2463</v>
      </c>
      <c r="K765" s="22">
        <v>9785002230679</v>
      </c>
      <c r="L765" s="23" t="s">
        <v>2464</v>
      </c>
      <c r="M765" s="22">
        <v>240</v>
      </c>
      <c r="N765" s="24">
        <v>0.16</v>
      </c>
      <c r="O765" s="22">
        <v>120</v>
      </c>
      <c r="P765" s="22">
        <v>170</v>
      </c>
      <c r="Q765" s="22">
        <v>12</v>
      </c>
      <c r="R765" s="23" t="s">
        <v>75</v>
      </c>
      <c r="S765" s="23" t="s">
        <v>596</v>
      </c>
      <c r="T765" s="25">
        <v>4000</v>
      </c>
      <c r="U765" s="23" t="s">
        <v>44</v>
      </c>
      <c r="V765" s="23" t="s">
        <v>59</v>
      </c>
      <c r="W765" s="22">
        <v>10</v>
      </c>
      <c r="X765" s="35" t="str">
        <f>HYPERLINK("https://www.alpinabook.ru/catalog/book-uravnenie-boga","ссылка на книгу")</f>
        <v>ссылка на книгу</v>
      </c>
      <c r="Y765" s="36" t="str">
        <f>HYPERLINK("https://api-enni.alpina.ru/FilePrivilegesApproval/131","https://api-enni.alpina.ru/FilePrivilegesApproval/131")</f>
        <v>https://api-enni.alpina.ru/FilePrivilegesApproval/131</v>
      </c>
      <c r="Z765" s="23"/>
      <c r="AT765" s="1">
        <f t="shared" si="113"/>
        <v>0</v>
      </c>
      <c r="AU765" s="1">
        <f t="shared" si="114"/>
        <v>0</v>
      </c>
      <c r="AV765" s="1">
        <f t="shared" si="115"/>
        <v>0</v>
      </c>
      <c r="AW765" s="1">
        <f t="shared" si="116"/>
        <v>0</v>
      </c>
      <c r="AX765" s="1">
        <f t="shared" si="117"/>
        <v>0</v>
      </c>
    </row>
    <row r="766" spans="1:50" s="1" customFormat="1" ht="24.95" customHeight="1" outlineLevel="3" x14ac:dyDescent="0.2">
      <c r="A766" s="21"/>
      <c r="B766" s="22">
        <v>450</v>
      </c>
      <c r="C766" s="22">
        <v>690</v>
      </c>
      <c r="D766" s="22">
        <v>8879</v>
      </c>
      <c r="E766" s="23" t="s">
        <v>2360</v>
      </c>
      <c r="F766" s="23" t="s">
        <v>2465</v>
      </c>
      <c r="G766" s="23" t="s">
        <v>86</v>
      </c>
      <c r="H766" s="23" t="s">
        <v>40</v>
      </c>
      <c r="I766" s="22">
        <v>2024</v>
      </c>
      <c r="J766" s="23" t="s">
        <v>2466</v>
      </c>
      <c r="K766" s="22">
        <v>9785916719079</v>
      </c>
      <c r="L766" s="23" t="s">
        <v>2467</v>
      </c>
      <c r="M766" s="22">
        <v>736</v>
      </c>
      <c r="N766" s="24">
        <v>0.46</v>
      </c>
      <c r="O766" s="22">
        <v>115</v>
      </c>
      <c r="P766" s="22">
        <v>165</v>
      </c>
      <c r="Q766" s="22">
        <v>8</v>
      </c>
      <c r="R766" s="23" t="s">
        <v>75</v>
      </c>
      <c r="S766" s="23" t="s">
        <v>596</v>
      </c>
      <c r="T766" s="25">
        <v>2000</v>
      </c>
      <c r="U766" s="23" t="s">
        <v>44</v>
      </c>
      <c r="V766" s="23" t="s">
        <v>59</v>
      </c>
      <c r="W766" s="22">
        <v>10</v>
      </c>
      <c r="X766" s="35" t="str">
        <f>HYPERLINK("https://www.alpinabook.ru/catalog/book-fizika-budushchego","ссылка на книгу")</f>
        <v>ссылка на книгу</v>
      </c>
      <c r="Y766" s="36" t="str">
        <f>HYPERLINK("https://api-enni.alpina.ru/FilePrivilegesApproval/260","https://api-enni.alpina.ru/FilePrivilegesApproval/260")</f>
        <v>https://api-enni.alpina.ru/FilePrivilegesApproval/260</v>
      </c>
      <c r="Z766" s="23"/>
      <c r="AT766" s="1">
        <f t="shared" si="113"/>
        <v>0</v>
      </c>
      <c r="AU766" s="1">
        <f t="shared" si="114"/>
        <v>0</v>
      </c>
      <c r="AV766" s="1">
        <f t="shared" si="115"/>
        <v>0</v>
      </c>
      <c r="AW766" s="1">
        <f t="shared" si="116"/>
        <v>0</v>
      </c>
      <c r="AX766" s="1">
        <f t="shared" si="117"/>
        <v>0</v>
      </c>
    </row>
    <row r="767" spans="1:50" s="1" customFormat="1" ht="24.95" customHeight="1" outlineLevel="3" x14ac:dyDescent="0.2">
      <c r="A767" s="21"/>
      <c r="B767" s="22">
        <v>890</v>
      </c>
      <c r="C767" s="25">
        <v>1290</v>
      </c>
      <c r="D767" s="22">
        <v>1504</v>
      </c>
      <c r="E767" s="23" t="s">
        <v>2360</v>
      </c>
      <c r="F767" s="23" t="s">
        <v>2468</v>
      </c>
      <c r="G767" s="23" t="s">
        <v>86</v>
      </c>
      <c r="H767" s="23" t="s">
        <v>40</v>
      </c>
      <c r="I767" s="22">
        <v>2024</v>
      </c>
      <c r="J767" s="23" t="s">
        <v>2469</v>
      </c>
      <c r="K767" s="22">
        <v>9785916719048</v>
      </c>
      <c r="L767" s="23" t="s">
        <v>2470</v>
      </c>
      <c r="M767" s="22">
        <v>456</v>
      </c>
      <c r="N767" s="24">
        <v>0.54</v>
      </c>
      <c r="O767" s="22">
        <v>146</v>
      </c>
      <c r="P767" s="22">
        <v>216</v>
      </c>
      <c r="Q767" s="22">
        <v>8</v>
      </c>
      <c r="R767" s="23" t="s">
        <v>43</v>
      </c>
      <c r="S767" s="23"/>
      <c r="T767" s="25">
        <v>1500</v>
      </c>
      <c r="U767" s="23" t="s">
        <v>52</v>
      </c>
      <c r="V767" s="23" t="s">
        <v>59</v>
      </c>
      <c r="W767" s="22">
        <v>10</v>
      </c>
      <c r="X767" s="35" t="str">
        <f>HYPERLINK("https://www.alpinabook.ru/catalog/book-fizika-nevozmozhnogo","ссылка на книгу")</f>
        <v>ссылка на книгу</v>
      </c>
      <c r="Y767" s="36" t="str">
        <f>HYPERLINK("https://api-enni.alpina.ru/FilePrivilegesApproval/145","https://api-enni.alpina.ru/FilePrivilegesApproval/145")</f>
        <v>https://api-enni.alpina.ru/FilePrivilegesApproval/145</v>
      </c>
      <c r="Z767" s="23"/>
      <c r="AT767" s="1">
        <f t="shared" si="113"/>
        <v>0</v>
      </c>
      <c r="AU767" s="1">
        <f t="shared" si="114"/>
        <v>0</v>
      </c>
      <c r="AV767" s="1">
        <f t="shared" si="115"/>
        <v>0</v>
      </c>
      <c r="AW767" s="1">
        <f t="shared" si="116"/>
        <v>0</v>
      </c>
      <c r="AX767" s="1">
        <f t="shared" si="117"/>
        <v>0</v>
      </c>
    </row>
    <row r="768" spans="1:50" s="1" customFormat="1" ht="24.95" customHeight="1" outlineLevel="3" x14ac:dyDescent="0.2">
      <c r="A768" s="21"/>
      <c r="B768" s="22">
        <v>790</v>
      </c>
      <c r="C768" s="25">
        <v>1190</v>
      </c>
      <c r="D768" s="22">
        <v>17536</v>
      </c>
      <c r="E768" s="23" t="s">
        <v>2471</v>
      </c>
      <c r="F768" s="23" t="s">
        <v>2472</v>
      </c>
      <c r="G768" s="23" t="s">
        <v>86</v>
      </c>
      <c r="H768" s="23"/>
      <c r="I768" s="22">
        <v>2025</v>
      </c>
      <c r="J768" s="23" t="s">
        <v>2473</v>
      </c>
      <c r="K768" s="22">
        <v>9785001393016</v>
      </c>
      <c r="L768" s="23" t="s">
        <v>2474</v>
      </c>
      <c r="M768" s="22">
        <v>542</v>
      </c>
      <c r="N768" s="24">
        <v>0.7</v>
      </c>
      <c r="O768" s="22">
        <v>150</v>
      </c>
      <c r="P768" s="22">
        <v>220</v>
      </c>
      <c r="Q768" s="22">
        <v>8</v>
      </c>
      <c r="R768" s="23" t="s">
        <v>43</v>
      </c>
      <c r="S768" s="23" t="s">
        <v>2475</v>
      </c>
      <c r="T768" s="25">
        <v>2000</v>
      </c>
      <c r="U768" s="23" t="s">
        <v>52</v>
      </c>
      <c r="V768" s="23" t="s">
        <v>45</v>
      </c>
      <c r="W768" s="22">
        <v>10</v>
      </c>
      <c r="X768" s="35" t="str">
        <f>HYPERLINK("https://www.alpinabook.ru/catalog/book-khlopok-odnoy-ladonyu","ссылка на книгу")</f>
        <v>ссылка на книгу</v>
      </c>
      <c r="Y768" s="36" t="str">
        <f>HYPERLINK("https://api-enni.alpina.ru/FilePrivilegesApproval/131","https://api-enni.alpina.ru/FilePrivilegesApproval/131")</f>
        <v>https://api-enni.alpina.ru/FilePrivilegesApproval/131</v>
      </c>
      <c r="Z768" s="23"/>
      <c r="AT768" s="1">
        <f t="shared" si="113"/>
        <v>0</v>
      </c>
      <c r="AU768" s="1">
        <f t="shared" si="114"/>
        <v>0</v>
      </c>
      <c r="AV768" s="1">
        <f t="shared" si="115"/>
        <v>0</v>
      </c>
      <c r="AW768" s="1">
        <f t="shared" si="116"/>
        <v>0</v>
      </c>
      <c r="AX768" s="1">
        <f t="shared" si="117"/>
        <v>0</v>
      </c>
    </row>
    <row r="769" spans="1:50" s="1" customFormat="1" ht="24.95" customHeight="1" outlineLevel="3" x14ac:dyDescent="0.2">
      <c r="A769" s="21"/>
      <c r="B769" s="22">
        <v>690</v>
      </c>
      <c r="C769" s="22">
        <v>990</v>
      </c>
      <c r="D769" s="22">
        <v>27008</v>
      </c>
      <c r="E769" s="23" t="s">
        <v>2476</v>
      </c>
      <c r="F769" s="23" t="s">
        <v>2477</v>
      </c>
      <c r="G769" s="23" t="s">
        <v>56</v>
      </c>
      <c r="H769" s="23" t="s">
        <v>40</v>
      </c>
      <c r="I769" s="22">
        <v>2025</v>
      </c>
      <c r="J769" s="23" t="s">
        <v>2478</v>
      </c>
      <c r="K769" s="22">
        <v>9785961483680</v>
      </c>
      <c r="L769" s="23" t="s">
        <v>2479</v>
      </c>
      <c r="M769" s="22">
        <v>416</v>
      </c>
      <c r="N769" s="24">
        <v>0.59</v>
      </c>
      <c r="O769" s="22">
        <v>150</v>
      </c>
      <c r="P769" s="22">
        <v>220</v>
      </c>
      <c r="Q769" s="22">
        <v>5</v>
      </c>
      <c r="R769" s="23" t="s">
        <v>43</v>
      </c>
      <c r="S769" s="23"/>
      <c r="T769" s="25">
        <v>1000</v>
      </c>
      <c r="U769" s="23" t="s">
        <v>52</v>
      </c>
      <c r="V769" s="23" t="s">
        <v>59</v>
      </c>
      <c r="W769" s="22">
        <v>10</v>
      </c>
      <c r="X769" s="35" t="str">
        <f>HYPERLINK("https://www.alpinabook.ru/catalog/book-shifry-tsivilizatsii","ссылка на книгу")</f>
        <v>ссылка на книгу</v>
      </c>
      <c r="Y769" s="36" t="str">
        <f>HYPERLINK("https://api-enni.alpina.ru/FilePrivilegesApproval/292","https://api-enni.alpina.ru/FilePrivilegesApproval/292")</f>
        <v>https://api-enni.alpina.ru/FilePrivilegesApproval/292</v>
      </c>
      <c r="Z769" s="23" t="s">
        <v>847</v>
      </c>
      <c r="AT769" s="1">
        <f t="shared" si="113"/>
        <v>0</v>
      </c>
      <c r="AU769" s="1">
        <f t="shared" si="114"/>
        <v>0</v>
      </c>
      <c r="AV769" s="1">
        <f t="shared" si="115"/>
        <v>0</v>
      </c>
      <c r="AW769" s="1">
        <f t="shared" si="116"/>
        <v>0</v>
      </c>
      <c r="AX769" s="1">
        <f t="shared" si="117"/>
        <v>0</v>
      </c>
    </row>
    <row r="770" spans="1:50" s="1" customFormat="1" ht="24.95" customHeight="1" outlineLevel="3" x14ac:dyDescent="0.2">
      <c r="A770" s="21"/>
      <c r="B770" s="22">
        <v>790</v>
      </c>
      <c r="C770" s="25">
        <v>1190</v>
      </c>
      <c r="D770" s="22">
        <v>29770</v>
      </c>
      <c r="E770" s="23" t="s">
        <v>2480</v>
      </c>
      <c r="F770" s="23" t="s">
        <v>2481</v>
      </c>
      <c r="G770" s="23" t="s">
        <v>97</v>
      </c>
      <c r="H770" s="23"/>
      <c r="I770" s="22">
        <v>2024</v>
      </c>
      <c r="J770" s="23" t="s">
        <v>2482</v>
      </c>
      <c r="K770" s="22">
        <v>9785206002942</v>
      </c>
      <c r="L770" s="23" t="s">
        <v>2483</v>
      </c>
      <c r="M770" s="22">
        <v>242</v>
      </c>
      <c r="N770" s="24">
        <v>0.48</v>
      </c>
      <c r="O770" s="22">
        <v>150</v>
      </c>
      <c r="P770" s="22">
        <v>220</v>
      </c>
      <c r="Q770" s="22">
        <v>8</v>
      </c>
      <c r="R770" s="23" t="s">
        <v>43</v>
      </c>
      <c r="S770" s="23"/>
      <c r="T770" s="25">
        <v>1000</v>
      </c>
      <c r="U770" s="23" t="s">
        <v>52</v>
      </c>
      <c r="V770" s="23" t="s">
        <v>45</v>
      </c>
      <c r="W770" s="22">
        <v>10</v>
      </c>
      <c r="X770" s="35" t="str">
        <f>HYPERLINK("https://www.alpinabook.ru/catalog/book-energeticheskie-aspekty-mezhdunarodnoy-politiki","ссылка на книгу")</f>
        <v>ссылка на книгу</v>
      </c>
      <c r="Y770" s="36" t="str">
        <f>HYPERLINK("https://api-enni.alpina.ru/FilePrivilegesApproval/372","https://api-enni.alpina.ru/FilePrivilegesApproval/372")</f>
        <v>https://api-enni.alpina.ru/FilePrivilegesApproval/372</v>
      </c>
      <c r="Z770" s="23"/>
      <c r="AT770" s="1">
        <f t="shared" si="113"/>
        <v>0</v>
      </c>
      <c r="AU770" s="1">
        <f t="shared" si="114"/>
        <v>0</v>
      </c>
      <c r="AV770" s="1">
        <f t="shared" si="115"/>
        <v>0</v>
      </c>
      <c r="AW770" s="1">
        <f t="shared" si="116"/>
        <v>0</v>
      </c>
      <c r="AX770" s="1">
        <f t="shared" si="117"/>
        <v>0</v>
      </c>
    </row>
    <row r="771" spans="1:50" s="1" customFormat="1" ht="24.95" customHeight="1" outlineLevel="3" x14ac:dyDescent="0.2">
      <c r="A771" s="21"/>
      <c r="B771" s="25">
        <v>1090</v>
      </c>
      <c r="C771" s="25">
        <v>1590</v>
      </c>
      <c r="D771" s="22">
        <v>2283</v>
      </c>
      <c r="E771" s="23" t="s">
        <v>823</v>
      </c>
      <c r="F771" s="23" t="s">
        <v>824</v>
      </c>
      <c r="G771" s="23" t="s">
        <v>86</v>
      </c>
      <c r="H771" s="23" t="s">
        <v>40</v>
      </c>
      <c r="I771" s="22">
        <v>2023</v>
      </c>
      <c r="J771" s="23" t="s">
        <v>825</v>
      </c>
      <c r="K771" s="22">
        <v>9785916718348</v>
      </c>
      <c r="L771" s="23" t="s">
        <v>826</v>
      </c>
      <c r="M771" s="22">
        <v>768</v>
      </c>
      <c r="N771" s="24">
        <v>0.83</v>
      </c>
      <c r="O771" s="22">
        <v>150</v>
      </c>
      <c r="P771" s="22">
        <v>220</v>
      </c>
      <c r="Q771" s="22">
        <v>5</v>
      </c>
      <c r="R771" s="23" t="s">
        <v>43</v>
      </c>
      <c r="S771" s="23"/>
      <c r="T771" s="25">
        <v>5000</v>
      </c>
      <c r="U771" s="23" t="s">
        <v>52</v>
      </c>
      <c r="V771" s="23" t="s">
        <v>45</v>
      </c>
      <c r="W771" s="22">
        <v>10</v>
      </c>
      <c r="X771" s="35" t="str">
        <f>HYPERLINK("https://www.alpinabook.ru/catalog/book-effekt-lyutsifera","ссылка на книгу")</f>
        <v>ссылка на книгу</v>
      </c>
      <c r="Y771" s="36" t="str">
        <f>HYPERLINK("https://api-enni.alpina.ru/FilePrivilegesApproval/127","https://api-enni.alpina.ru/FilePrivilegesApproval/127")</f>
        <v>https://api-enni.alpina.ru/FilePrivilegesApproval/127</v>
      </c>
      <c r="Z771" s="23" t="s">
        <v>262</v>
      </c>
      <c r="AT771" s="1">
        <f t="shared" si="113"/>
        <v>0</v>
      </c>
      <c r="AU771" s="1">
        <f t="shared" si="114"/>
        <v>0</v>
      </c>
      <c r="AV771" s="1">
        <f t="shared" si="115"/>
        <v>0</v>
      </c>
      <c r="AW771" s="1">
        <f t="shared" si="116"/>
        <v>0</v>
      </c>
      <c r="AX771" s="1">
        <f t="shared" si="117"/>
        <v>0</v>
      </c>
    </row>
    <row r="772" spans="1:50" s="1" customFormat="1" ht="24.95" customHeight="1" outlineLevel="3" x14ac:dyDescent="0.2">
      <c r="A772" s="21"/>
      <c r="B772" s="25">
        <v>1190</v>
      </c>
      <c r="C772" s="25">
        <v>1690</v>
      </c>
      <c r="D772" s="22">
        <v>11162</v>
      </c>
      <c r="E772" s="23" t="s">
        <v>2484</v>
      </c>
      <c r="F772" s="23" t="s">
        <v>2485</v>
      </c>
      <c r="G772" s="23" t="s">
        <v>86</v>
      </c>
      <c r="H772" s="23" t="s">
        <v>40</v>
      </c>
      <c r="I772" s="22">
        <v>2025</v>
      </c>
      <c r="J772" s="23" t="s">
        <v>2486</v>
      </c>
      <c r="K772" s="22">
        <v>9785001393344</v>
      </c>
      <c r="L772" s="23" t="s">
        <v>2487</v>
      </c>
      <c r="M772" s="22">
        <v>588</v>
      </c>
      <c r="N772" s="24">
        <v>0.8</v>
      </c>
      <c r="O772" s="22">
        <v>168</v>
      </c>
      <c r="P772" s="22">
        <v>241</v>
      </c>
      <c r="Q772" s="22">
        <v>3</v>
      </c>
      <c r="R772" s="23" t="s">
        <v>94</v>
      </c>
      <c r="S772" s="23"/>
      <c r="T772" s="25">
        <v>2000</v>
      </c>
      <c r="U772" s="23" t="s">
        <v>52</v>
      </c>
      <c r="V772" s="23" t="s">
        <v>59</v>
      </c>
      <c r="W772" s="22">
        <v>10</v>
      </c>
      <c r="X772" s="35" t="str">
        <f>HYPERLINK("https://www.alpinabook.ru/catalog/book-yaponiya-istoriya-i-kultura","ссылка на книгу")</f>
        <v>ссылка на книгу</v>
      </c>
      <c r="Y772" s="36" t="str">
        <f>HYPERLINK("https://api-enni.alpina.ru/FilePrivilegesApproval/127","https://api-enni.alpina.ru/FilePrivilegesApproval/127")</f>
        <v>https://api-enni.alpina.ru/FilePrivilegesApproval/127</v>
      </c>
      <c r="Z772" s="23" t="s">
        <v>775</v>
      </c>
      <c r="AT772" s="1">
        <f t="shared" si="113"/>
        <v>0</v>
      </c>
      <c r="AU772" s="1">
        <f t="shared" si="114"/>
        <v>0</v>
      </c>
      <c r="AV772" s="1">
        <f t="shared" si="115"/>
        <v>0</v>
      </c>
      <c r="AW772" s="1">
        <f t="shared" si="116"/>
        <v>0</v>
      </c>
      <c r="AX772" s="1">
        <f t="shared" si="117"/>
        <v>0</v>
      </c>
    </row>
    <row r="773" spans="1:50" ht="11.1" customHeight="1" outlineLevel="2" x14ac:dyDescent="0.2">
      <c r="A773" s="40" t="s">
        <v>2488</v>
      </c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20"/>
    </row>
    <row r="774" spans="1:50" s="1" customFormat="1" ht="24.95" customHeight="1" outlineLevel="3" x14ac:dyDescent="0.2">
      <c r="A774" s="11"/>
      <c r="B774" s="12">
        <v>590</v>
      </c>
      <c r="C774" s="12">
        <v>590</v>
      </c>
      <c r="D774" s="12">
        <v>18817</v>
      </c>
      <c r="E774" s="13" t="s">
        <v>2489</v>
      </c>
      <c r="F774" s="13" t="s">
        <v>2490</v>
      </c>
      <c r="G774" s="13" t="s">
        <v>56</v>
      </c>
      <c r="H774" s="13"/>
      <c r="I774" s="12">
        <v>2021</v>
      </c>
      <c r="J774" s="13" t="s">
        <v>2491</v>
      </c>
      <c r="K774" s="12">
        <v>9785961438468</v>
      </c>
      <c r="L774" s="13" t="s">
        <v>2492</v>
      </c>
      <c r="M774" s="12">
        <v>262</v>
      </c>
      <c r="N774" s="14">
        <v>0.33</v>
      </c>
      <c r="O774" s="12">
        <v>141</v>
      </c>
      <c r="P774" s="12">
        <v>210</v>
      </c>
      <c r="Q774" s="12">
        <v>16</v>
      </c>
      <c r="R774" s="13" t="s">
        <v>43</v>
      </c>
      <c r="S774" s="13"/>
      <c r="T774" s="15">
        <v>3000</v>
      </c>
      <c r="U774" s="13" t="s">
        <v>44</v>
      </c>
      <c r="V774" s="13" t="s">
        <v>45</v>
      </c>
      <c r="W774" s="12">
        <v>10</v>
      </c>
      <c r="X774" s="33" t="str">
        <f>HYPERLINK("https://www.alpinabook.ru/catalog/book-654506","ссылка на книгу")</f>
        <v>ссылка на книгу</v>
      </c>
      <c r="Y774" s="34" t="str">
        <f>HYPERLINK("https://api-enni.alpina.ru/FilePrivilegesApproval/102","https://api-enni.alpina.ru/FilePrivilegesApproval/102")</f>
        <v>https://api-enni.alpina.ru/FilePrivilegesApproval/102</v>
      </c>
      <c r="Z774" s="13"/>
      <c r="AT774" s="1">
        <f t="shared" ref="AT774:AT808" si="118">IF($A774&lt;&gt;0,1,0)</f>
        <v>0</v>
      </c>
      <c r="AU774" s="1">
        <f t="shared" ref="AU774:AU808" si="119">$A774*$B774</f>
        <v>0</v>
      </c>
      <c r="AV774" s="1">
        <f t="shared" ref="AV774:AV808" si="120">$A774*$N774</f>
        <v>0</v>
      </c>
      <c r="AW774" s="1">
        <f t="shared" ref="AW774:AW808" si="121">IF($Q774=0,0,INT($A774/$Q774))</f>
        <v>0</v>
      </c>
      <c r="AX774" s="1">
        <f t="shared" ref="AX774:AX808" si="122">$A774-$AW774*$Q774</f>
        <v>0</v>
      </c>
    </row>
    <row r="775" spans="1:50" s="1" customFormat="1" ht="24.95" customHeight="1" outlineLevel="3" x14ac:dyDescent="0.2">
      <c r="A775" s="11"/>
      <c r="B775" s="12">
        <v>290</v>
      </c>
      <c r="C775" s="12">
        <v>540</v>
      </c>
      <c r="D775" s="12">
        <v>27613</v>
      </c>
      <c r="E775" s="13" t="s">
        <v>929</v>
      </c>
      <c r="F775" s="13" t="s">
        <v>2493</v>
      </c>
      <c r="G775" s="13" t="s">
        <v>86</v>
      </c>
      <c r="H775" s="13" t="s">
        <v>40</v>
      </c>
      <c r="I775" s="12">
        <v>2023</v>
      </c>
      <c r="J775" s="13" t="s">
        <v>2494</v>
      </c>
      <c r="K775" s="12">
        <v>9785001399308</v>
      </c>
      <c r="L775" s="13" t="s">
        <v>2495</v>
      </c>
      <c r="M775" s="12">
        <v>256</v>
      </c>
      <c r="N775" s="14">
        <v>0.17</v>
      </c>
      <c r="O775" s="12">
        <v>120</v>
      </c>
      <c r="P775" s="12">
        <v>170</v>
      </c>
      <c r="Q775" s="12">
        <v>12</v>
      </c>
      <c r="R775" s="13" t="s">
        <v>75</v>
      </c>
      <c r="S775" s="13" t="s">
        <v>76</v>
      </c>
      <c r="T775" s="15">
        <v>7000</v>
      </c>
      <c r="U775" s="13" t="s">
        <v>44</v>
      </c>
      <c r="V775" s="13" t="s">
        <v>59</v>
      </c>
      <c r="W775" s="12">
        <v>10</v>
      </c>
      <c r="X775" s="33" t="str">
        <f>HYPERLINK("https://www.alpinabook.ru/catalog/book-v-poiskakh-potoka","ссылка на книгу")</f>
        <v>ссылка на книгу</v>
      </c>
      <c r="Y775" s="34" t="str">
        <f>HYPERLINK("https://api-enni.alpina.ru/FilePrivilegesApproval/149","https://api-enni.alpina.ru/FilePrivilegesApproval/149")</f>
        <v>https://api-enni.alpina.ru/FilePrivilegesApproval/149</v>
      </c>
      <c r="Z775" s="13"/>
      <c r="AT775" s="1">
        <f t="shared" si="118"/>
        <v>0</v>
      </c>
      <c r="AU775" s="1">
        <f t="shared" si="119"/>
        <v>0</v>
      </c>
      <c r="AV775" s="1">
        <f t="shared" si="120"/>
        <v>0</v>
      </c>
      <c r="AW775" s="1">
        <f t="shared" si="121"/>
        <v>0</v>
      </c>
      <c r="AX775" s="1">
        <f t="shared" si="122"/>
        <v>0</v>
      </c>
    </row>
    <row r="776" spans="1:50" s="1" customFormat="1" ht="24.95" customHeight="1" outlineLevel="3" x14ac:dyDescent="0.2">
      <c r="A776" s="26"/>
      <c r="B776" s="27">
        <v>590</v>
      </c>
      <c r="C776" s="27">
        <v>840</v>
      </c>
      <c r="D776" s="27">
        <v>5056</v>
      </c>
      <c r="E776" s="29" t="s">
        <v>291</v>
      </c>
      <c r="F776" s="29" t="s">
        <v>2496</v>
      </c>
      <c r="G776" s="29" t="s">
        <v>56</v>
      </c>
      <c r="H776" s="29" t="s">
        <v>40</v>
      </c>
      <c r="I776" s="27">
        <v>2024</v>
      </c>
      <c r="J776" s="29" t="s">
        <v>2497</v>
      </c>
      <c r="K776" s="27">
        <v>9785961462531</v>
      </c>
      <c r="L776" s="29" t="s">
        <v>2498</v>
      </c>
      <c r="M776" s="27">
        <v>348</v>
      </c>
      <c r="N776" s="30">
        <v>0.55000000000000004</v>
      </c>
      <c r="O776" s="27">
        <v>160</v>
      </c>
      <c r="P776" s="27">
        <v>220</v>
      </c>
      <c r="Q776" s="27">
        <v>5</v>
      </c>
      <c r="R776" s="29" t="s">
        <v>43</v>
      </c>
      <c r="S776" s="29"/>
      <c r="T776" s="28">
        <v>1000</v>
      </c>
      <c r="U776" s="29" t="s">
        <v>52</v>
      </c>
      <c r="V776" s="29" t="s">
        <v>64</v>
      </c>
      <c r="W776" s="27">
        <v>10</v>
      </c>
      <c r="X776" s="37" t="str">
        <f>HYPERLINK("https://www.alpinabook.ru/catalog/book-vozvrashchenie-primitiva","ссылка на книгу")</f>
        <v>ссылка на книгу</v>
      </c>
      <c r="Y776" s="38" t="str">
        <f>HYPERLINK("https://api-enni.alpina.ru/FilePrivilegesApproval/141","https://api-enni.alpina.ru/FilePrivilegesApproval/141")</f>
        <v>https://api-enni.alpina.ru/FilePrivilegesApproval/141</v>
      </c>
      <c r="Z776" s="29"/>
      <c r="AT776" s="1">
        <f t="shared" si="118"/>
        <v>0</v>
      </c>
      <c r="AU776" s="1">
        <f t="shared" si="119"/>
        <v>0</v>
      </c>
      <c r="AV776" s="1">
        <f t="shared" si="120"/>
        <v>0</v>
      </c>
      <c r="AW776" s="1">
        <f t="shared" si="121"/>
        <v>0</v>
      </c>
      <c r="AX776" s="1">
        <f t="shared" si="122"/>
        <v>0</v>
      </c>
    </row>
    <row r="777" spans="1:50" s="1" customFormat="1" ht="24.95" customHeight="1" outlineLevel="3" x14ac:dyDescent="0.2">
      <c r="A777" s="11"/>
      <c r="B777" s="12">
        <v>790</v>
      </c>
      <c r="C777" s="15">
        <v>1190</v>
      </c>
      <c r="D777" s="12">
        <v>6997</v>
      </c>
      <c r="E777" s="13" t="s">
        <v>351</v>
      </c>
      <c r="F777" s="13" t="s">
        <v>2499</v>
      </c>
      <c r="G777" s="13" t="s">
        <v>86</v>
      </c>
      <c r="H777" s="13"/>
      <c r="I777" s="12">
        <v>2025</v>
      </c>
      <c r="J777" s="13" t="s">
        <v>2500</v>
      </c>
      <c r="K777" s="12">
        <v>9785001394778</v>
      </c>
      <c r="L777" s="13" t="s">
        <v>2501</v>
      </c>
      <c r="M777" s="12">
        <v>458</v>
      </c>
      <c r="N777" s="14">
        <v>0.65</v>
      </c>
      <c r="O777" s="12">
        <v>146</v>
      </c>
      <c r="P777" s="12">
        <v>216</v>
      </c>
      <c r="Q777" s="12">
        <v>8</v>
      </c>
      <c r="R777" s="13" t="s">
        <v>43</v>
      </c>
      <c r="S777" s="13"/>
      <c r="T777" s="15">
        <v>3000</v>
      </c>
      <c r="U777" s="13" t="s">
        <v>52</v>
      </c>
      <c r="V777" s="13" t="s">
        <v>59</v>
      </c>
      <c r="W777" s="12">
        <v>10</v>
      </c>
      <c r="X777" s="33" t="str">
        <f>HYPERLINK("https://www.alpinabook.ru/catalog/book-volya-i-samokontrol","ссылка на книгу")</f>
        <v>ссылка на книгу</v>
      </c>
      <c r="Y777" s="34" t="str">
        <f>HYPERLINK("https://api-enni.alpina.ru/FilePrivilegesApproval/146","https://api-enni.alpina.ru/FilePrivilegesApproval/146")</f>
        <v>https://api-enni.alpina.ru/FilePrivilegesApproval/146</v>
      </c>
      <c r="Z777" s="13" t="s">
        <v>732</v>
      </c>
      <c r="AT777" s="1">
        <f t="shared" si="118"/>
        <v>0</v>
      </c>
      <c r="AU777" s="1">
        <f t="shared" si="119"/>
        <v>0</v>
      </c>
      <c r="AV777" s="1">
        <f t="shared" si="120"/>
        <v>0</v>
      </c>
      <c r="AW777" s="1">
        <f t="shared" si="121"/>
        <v>0</v>
      </c>
      <c r="AX777" s="1">
        <f t="shared" si="122"/>
        <v>0</v>
      </c>
    </row>
    <row r="778" spans="1:50" s="1" customFormat="1" ht="24.95" customHeight="1" outlineLevel="3" x14ac:dyDescent="0.2">
      <c r="A778" s="11"/>
      <c r="B778" s="12">
        <v>720</v>
      </c>
      <c r="C778" s="12">
        <v>990</v>
      </c>
      <c r="D778" s="12">
        <v>7801</v>
      </c>
      <c r="E778" s="13" t="s">
        <v>727</v>
      </c>
      <c r="F778" s="13" t="s">
        <v>2502</v>
      </c>
      <c r="G778" s="13" t="s">
        <v>86</v>
      </c>
      <c r="H778" s="13" t="s">
        <v>40</v>
      </c>
      <c r="I778" s="12">
        <v>2025</v>
      </c>
      <c r="J778" s="13" t="s">
        <v>2503</v>
      </c>
      <c r="K778" s="12">
        <v>9785916718485</v>
      </c>
      <c r="L778" s="13" t="s">
        <v>2504</v>
      </c>
      <c r="M778" s="12">
        <v>228</v>
      </c>
      <c r="N778" s="14">
        <v>0.38</v>
      </c>
      <c r="O778" s="12">
        <v>150</v>
      </c>
      <c r="P778" s="12">
        <v>220</v>
      </c>
      <c r="Q778" s="12">
        <v>16</v>
      </c>
      <c r="R778" s="13" t="s">
        <v>43</v>
      </c>
      <c r="S778" s="13"/>
      <c r="T778" s="15">
        <v>2000</v>
      </c>
      <c r="U778" s="13" t="s">
        <v>52</v>
      </c>
      <c r="V778" s="13" t="s">
        <v>59</v>
      </c>
      <c r="W778" s="12">
        <v>10</v>
      </c>
      <c r="X778" s="33" t="str">
        <f>HYPERLINK("https://www.alpinabook.ru/catalog/book-volya-k-smyslu","ссылка на книгу")</f>
        <v>ссылка на книгу</v>
      </c>
      <c r="Y778" s="34" t="str">
        <f>HYPERLINK("https://api-enni.alpina.ru/FilePrivilegesApproval/150","https://api-enni.alpina.ru/FilePrivilegesApproval/150")</f>
        <v>https://api-enni.alpina.ru/FilePrivilegesApproval/150</v>
      </c>
      <c r="Z778" s="13"/>
      <c r="AT778" s="1">
        <f t="shared" si="118"/>
        <v>0</v>
      </c>
      <c r="AU778" s="1">
        <f t="shared" si="119"/>
        <v>0</v>
      </c>
      <c r="AV778" s="1">
        <f t="shared" si="120"/>
        <v>0</v>
      </c>
      <c r="AW778" s="1">
        <f t="shared" si="121"/>
        <v>0</v>
      </c>
      <c r="AX778" s="1">
        <f t="shared" si="122"/>
        <v>0</v>
      </c>
    </row>
    <row r="779" spans="1:50" s="1" customFormat="1" ht="24.95" customHeight="1" outlineLevel="3" x14ac:dyDescent="0.2">
      <c r="A779" s="11"/>
      <c r="B779" s="12">
        <v>690</v>
      </c>
      <c r="C779" s="12">
        <v>990</v>
      </c>
      <c r="D779" s="12">
        <v>20840</v>
      </c>
      <c r="E779" s="13" t="s">
        <v>291</v>
      </c>
      <c r="F779" s="13" t="s">
        <v>2505</v>
      </c>
      <c r="G779" s="13" t="s">
        <v>56</v>
      </c>
      <c r="H779" s="13" t="s">
        <v>40</v>
      </c>
      <c r="I779" s="12">
        <v>2024</v>
      </c>
      <c r="J779" s="13" t="s">
        <v>2506</v>
      </c>
      <c r="K779" s="12">
        <v>9785961472868</v>
      </c>
      <c r="L779" s="13" t="s">
        <v>2507</v>
      </c>
      <c r="M779" s="12">
        <v>480</v>
      </c>
      <c r="N779" s="14">
        <v>0.68</v>
      </c>
      <c r="O779" s="12">
        <v>150</v>
      </c>
      <c r="P779" s="12">
        <v>220</v>
      </c>
      <c r="Q779" s="12">
        <v>5</v>
      </c>
      <c r="R779" s="13" t="s">
        <v>43</v>
      </c>
      <c r="S779" s="13"/>
      <c r="T779" s="15">
        <v>1000</v>
      </c>
      <c r="U779" s="13" t="s">
        <v>52</v>
      </c>
      <c r="V779" s="13" t="s">
        <v>45</v>
      </c>
      <c r="W779" s="12">
        <v>10</v>
      </c>
      <c r="X779" s="33" t="str">
        <f>HYPERLINK("https://www.alpinabook.ru/catalog/book-golos-razuma","ссылка на книгу")</f>
        <v>ссылка на книгу</v>
      </c>
      <c r="Y779" s="34" t="str">
        <f>HYPERLINK("https://api-enni.alpina.ru/FilePrivilegesApproval/109","https://api-enni.alpina.ru/FilePrivilegesApproval/109")</f>
        <v>https://api-enni.alpina.ru/FilePrivilegesApproval/109</v>
      </c>
      <c r="Z779" s="13"/>
      <c r="AT779" s="1">
        <f t="shared" si="118"/>
        <v>0</v>
      </c>
      <c r="AU779" s="1">
        <f t="shared" si="119"/>
        <v>0</v>
      </c>
      <c r="AV779" s="1">
        <f t="shared" si="120"/>
        <v>0</v>
      </c>
      <c r="AW779" s="1">
        <f t="shared" si="121"/>
        <v>0</v>
      </c>
      <c r="AX779" s="1">
        <f t="shared" si="122"/>
        <v>0</v>
      </c>
    </row>
    <row r="780" spans="1:50" s="1" customFormat="1" ht="24.95" customHeight="1" outlineLevel="3" x14ac:dyDescent="0.2">
      <c r="A780" s="11"/>
      <c r="B780" s="12">
        <v>740</v>
      </c>
      <c r="C780" s="12">
        <v>740</v>
      </c>
      <c r="D780" s="12">
        <v>4591</v>
      </c>
      <c r="E780" s="13" t="s">
        <v>727</v>
      </c>
      <c r="F780" s="13" t="s">
        <v>2508</v>
      </c>
      <c r="G780" s="13" t="s">
        <v>86</v>
      </c>
      <c r="H780" s="13" t="s">
        <v>164</v>
      </c>
      <c r="I780" s="12">
        <v>2025</v>
      </c>
      <c r="J780" s="13" t="s">
        <v>2509</v>
      </c>
      <c r="K780" s="12">
        <v>9785001390336</v>
      </c>
      <c r="L780" s="13" t="s">
        <v>2510</v>
      </c>
      <c r="M780" s="12">
        <v>338</v>
      </c>
      <c r="N780" s="14">
        <v>0.51</v>
      </c>
      <c r="O780" s="12">
        <v>146</v>
      </c>
      <c r="P780" s="12">
        <v>216</v>
      </c>
      <c r="Q780" s="12">
        <v>12</v>
      </c>
      <c r="R780" s="13" t="s">
        <v>43</v>
      </c>
      <c r="S780" s="13"/>
      <c r="T780" s="15">
        <v>1500</v>
      </c>
      <c r="U780" s="13" t="s">
        <v>52</v>
      </c>
      <c r="V780" s="13" t="s">
        <v>45</v>
      </c>
      <c r="W780" s="12">
        <v>10</v>
      </c>
      <c r="X780" s="33" t="str">
        <f>HYPERLINK("https://www.alpinabook.ru/catalog/book-doktor-i-dusha","ссылка на книгу")</f>
        <v>ссылка на книгу</v>
      </c>
      <c r="Y780" s="34" t="str">
        <f>HYPERLINK("https://api-enni.alpina.ru/FilePrivilegesApproval/127","https://api-enni.alpina.ru/FilePrivilegesApproval/127")</f>
        <v>https://api-enni.alpina.ru/FilePrivilegesApproval/127</v>
      </c>
      <c r="Z780" s="13" t="s">
        <v>1406</v>
      </c>
      <c r="AT780" s="1">
        <f t="shared" si="118"/>
        <v>0</v>
      </c>
      <c r="AU780" s="1">
        <f t="shared" si="119"/>
        <v>0</v>
      </c>
      <c r="AV780" s="1">
        <f t="shared" si="120"/>
        <v>0</v>
      </c>
      <c r="AW780" s="1">
        <f t="shared" si="121"/>
        <v>0</v>
      </c>
      <c r="AX780" s="1">
        <f t="shared" si="122"/>
        <v>0</v>
      </c>
    </row>
    <row r="781" spans="1:50" s="1" customFormat="1" ht="21.95" customHeight="1" outlineLevel="3" x14ac:dyDescent="0.2">
      <c r="A781" s="11"/>
      <c r="B781" s="12">
        <v>790</v>
      </c>
      <c r="C781" s="15">
        <v>1190</v>
      </c>
      <c r="D781" s="12">
        <v>26652</v>
      </c>
      <c r="E781" s="13" t="s">
        <v>2511</v>
      </c>
      <c r="F781" s="13" t="s">
        <v>2512</v>
      </c>
      <c r="G781" s="13" t="s">
        <v>86</v>
      </c>
      <c r="H781" s="13" t="s">
        <v>40</v>
      </c>
      <c r="I781" s="12">
        <v>2025</v>
      </c>
      <c r="J781" s="13" t="s">
        <v>2513</v>
      </c>
      <c r="K781" s="12">
        <v>9785001398080</v>
      </c>
      <c r="L781" s="13" t="s">
        <v>2514</v>
      </c>
      <c r="M781" s="12">
        <v>398</v>
      </c>
      <c r="N781" s="14">
        <v>0.5</v>
      </c>
      <c r="O781" s="12">
        <v>140</v>
      </c>
      <c r="P781" s="12">
        <v>210</v>
      </c>
      <c r="Q781" s="12">
        <v>12</v>
      </c>
      <c r="R781" s="13" t="s">
        <v>43</v>
      </c>
      <c r="S781" s="13"/>
      <c r="T781" s="15">
        <v>1500</v>
      </c>
      <c r="U781" s="13" t="s">
        <v>44</v>
      </c>
      <c r="V781" s="13" t="s">
        <v>89</v>
      </c>
      <c r="W781" s="12">
        <v>20</v>
      </c>
      <c r="X781" s="33" t="str">
        <f>HYPERLINK("https://www.alpinabook.ru/catalog/book-zhazhda-podlinnosti","ссылка на книгу")</f>
        <v>ссылка на книгу</v>
      </c>
      <c r="Y781" s="34" t="str">
        <f>HYPERLINK("","")</f>
        <v/>
      </c>
      <c r="Z781" s="13"/>
      <c r="AT781" s="1">
        <f t="shared" si="118"/>
        <v>0</v>
      </c>
      <c r="AU781" s="1">
        <f t="shared" si="119"/>
        <v>0</v>
      </c>
      <c r="AV781" s="1">
        <f t="shared" si="120"/>
        <v>0</v>
      </c>
      <c r="AW781" s="1">
        <f t="shared" si="121"/>
        <v>0</v>
      </c>
      <c r="AX781" s="1">
        <f t="shared" si="122"/>
        <v>0</v>
      </c>
    </row>
    <row r="782" spans="1:50" s="1" customFormat="1" ht="24.95" customHeight="1" outlineLevel="3" x14ac:dyDescent="0.2">
      <c r="A782" s="11"/>
      <c r="B782" s="12">
        <v>390</v>
      </c>
      <c r="C782" s="12">
        <v>640</v>
      </c>
      <c r="D782" s="12">
        <v>32714</v>
      </c>
      <c r="E782" s="13" t="s">
        <v>84</v>
      </c>
      <c r="F782" s="13" t="s">
        <v>85</v>
      </c>
      <c r="G782" s="13" t="s">
        <v>86</v>
      </c>
      <c r="H782" s="13" t="s">
        <v>40</v>
      </c>
      <c r="I782" s="12">
        <v>2025</v>
      </c>
      <c r="J782" s="13" t="s">
        <v>87</v>
      </c>
      <c r="K782" s="12">
        <v>9785916719703</v>
      </c>
      <c r="L782" s="13" t="s">
        <v>88</v>
      </c>
      <c r="M782" s="12">
        <v>384</v>
      </c>
      <c r="N782" s="14">
        <v>0.25</v>
      </c>
      <c r="O782" s="12">
        <v>120</v>
      </c>
      <c r="P782" s="12">
        <v>170</v>
      </c>
      <c r="Q782" s="12">
        <v>28</v>
      </c>
      <c r="R782" s="13" t="s">
        <v>75</v>
      </c>
      <c r="S782" s="13" t="s">
        <v>76</v>
      </c>
      <c r="T782" s="15">
        <v>2000</v>
      </c>
      <c r="U782" s="13" t="s">
        <v>44</v>
      </c>
      <c r="V782" s="13" t="s">
        <v>89</v>
      </c>
      <c r="W782" s="12">
        <v>20</v>
      </c>
      <c r="X782" s="33" t="str">
        <f>HYPERLINK("https://www.alpinabook.ru/catalog/book-zhit-khorosho","ссылка на книгу")</f>
        <v>ссылка на книгу</v>
      </c>
      <c r="Y782" s="34" t="str">
        <f>HYPERLINK("","")</f>
        <v/>
      </c>
      <c r="Z782" s="13" t="s">
        <v>77</v>
      </c>
      <c r="AT782" s="1">
        <f t="shared" si="118"/>
        <v>0</v>
      </c>
      <c r="AU782" s="1">
        <f t="shared" si="119"/>
        <v>0</v>
      </c>
      <c r="AV782" s="1">
        <f t="shared" si="120"/>
        <v>0</v>
      </c>
      <c r="AW782" s="1">
        <f t="shared" si="121"/>
        <v>0</v>
      </c>
      <c r="AX782" s="1">
        <f t="shared" si="122"/>
        <v>0</v>
      </c>
    </row>
    <row r="783" spans="1:50" s="1" customFormat="1" ht="24.95" customHeight="1" outlineLevel="3" x14ac:dyDescent="0.2">
      <c r="A783" s="11"/>
      <c r="B783" s="12">
        <v>790</v>
      </c>
      <c r="C783" s="12">
        <v>990</v>
      </c>
      <c r="D783" s="12">
        <v>26860</v>
      </c>
      <c r="E783" s="13" t="s">
        <v>2515</v>
      </c>
      <c r="F783" s="13" t="s">
        <v>2516</v>
      </c>
      <c r="G783" s="13" t="s">
        <v>86</v>
      </c>
      <c r="H783" s="13" t="s">
        <v>40</v>
      </c>
      <c r="I783" s="12">
        <v>2024</v>
      </c>
      <c r="J783" s="13" t="s">
        <v>2517</v>
      </c>
      <c r="K783" s="12">
        <v>9785001398479</v>
      </c>
      <c r="L783" s="13" t="s">
        <v>2518</v>
      </c>
      <c r="M783" s="12">
        <v>312</v>
      </c>
      <c r="N783" s="14">
        <v>0.3</v>
      </c>
      <c r="O783" s="12">
        <v>140</v>
      </c>
      <c r="P783" s="12">
        <v>210</v>
      </c>
      <c r="Q783" s="12">
        <v>14</v>
      </c>
      <c r="R783" s="13" t="s">
        <v>43</v>
      </c>
      <c r="S783" s="13"/>
      <c r="T783" s="15">
        <v>2000</v>
      </c>
      <c r="U783" s="13" t="s">
        <v>44</v>
      </c>
      <c r="V783" s="13" t="s">
        <v>89</v>
      </c>
      <c r="W783" s="12">
        <v>10</v>
      </c>
      <c r="X783" s="33" t="str">
        <f>HYPERLINK("https://www.alpinabook.ru/catalog/book-zavisimaya","ссылка на книгу")</f>
        <v>ссылка на книгу</v>
      </c>
      <c r="Y783" s="34" t="str">
        <f>HYPERLINK("https://api-enni.alpina.ru/FilePrivilegesApproval/497","https://api-enni.alpina.ru/FilePrivilegesApproval/497")</f>
        <v>https://api-enni.alpina.ru/FilePrivilegesApproval/497</v>
      </c>
      <c r="Z783" s="13"/>
      <c r="AT783" s="1">
        <f t="shared" si="118"/>
        <v>0</v>
      </c>
      <c r="AU783" s="1">
        <f t="shared" si="119"/>
        <v>0</v>
      </c>
      <c r="AV783" s="1">
        <f t="shared" si="120"/>
        <v>0</v>
      </c>
      <c r="AW783" s="1">
        <f t="shared" si="121"/>
        <v>0</v>
      </c>
      <c r="AX783" s="1">
        <f t="shared" si="122"/>
        <v>0</v>
      </c>
    </row>
    <row r="784" spans="1:50" s="1" customFormat="1" ht="24.95" customHeight="1" outlineLevel="3" x14ac:dyDescent="0.2">
      <c r="A784" s="11"/>
      <c r="B784" s="12">
        <v>790</v>
      </c>
      <c r="C784" s="15">
        <v>1190</v>
      </c>
      <c r="D784" s="12">
        <v>24666</v>
      </c>
      <c r="E784" s="13" t="s">
        <v>2519</v>
      </c>
      <c r="F784" s="13" t="s">
        <v>2520</v>
      </c>
      <c r="G784" s="13" t="s">
        <v>56</v>
      </c>
      <c r="H784" s="13" t="s">
        <v>40</v>
      </c>
      <c r="I784" s="12">
        <v>2025</v>
      </c>
      <c r="J784" s="13" t="s">
        <v>2521</v>
      </c>
      <c r="K784" s="12">
        <v>9785961478938</v>
      </c>
      <c r="L784" s="13" t="s">
        <v>2522</v>
      </c>
      <c r="M784" s="12">
        <v>444</v>
      </c>
      <c r="N784" s="14">
        <v>0.62</v>
      </c>
      <c r="O784" s="12">
        <v>150</v>
      </c>
      <c r="P784" s="12">
        <v>220</v>
      </c>
      <c r="Q784" s="12">
        <v>8</v>
      </c>
      <c r="R784" s="13" t="s">
        <v>43</v>
      </c>
      <c r="S784" s="13"/>
      <c r="T784" s="15">
        <v>2000</v>
      </c>
      <c r="U784" s="13" t="s">
        <v>52</v>
      </c>
      <c r="V784" s="13" t="s">
        <v>45</v>
      </c>
      <c r="W784" s="12">
        <v>10</v>
      </c>
      <c r="X784" s="33" t="str">
        <f>HYPERLINK("https://www.alpinabook.ru/catalog/book-zakony-zhizni-na-kazhdyy-den","ссылка на книгу")</f>
        <v>ссылка на книгу</v>
      </c>
      <c r="Y784" s="34" t="str">
        <f>HYPERLINK("https://api-enni.alpina.ru/FilePrivilegesApproval/156","https://api-enni.alpina.ru/FilePrivilegesApproval/156")</f>
        <v>https://api-enni.alpina.ru/FilePrivilegesApproval/156</v>
      </c>
      <c r="Z784" s="13" t="s">
        <v>954</v>
      </c>
      <c r="AT784" s="1">
        <f t="shared" si="118"/>
        <v>0</v>
      </c>
      <c r="AU784" s="1">
        <f t="shared" si="119"/>
        <v>0</v>
      </c>
      <c r="AV784" s="1">
        <f t="shared" si="120"/>
        <v>0</v>
      </c>
      <c r="AW784" s="1">
        <f t="shared" si="121"/>
        <v>0</v>
      </c>
      <c r="AX784" s="1">
        <f t="shared" si="122"/>
        <v>0</v>
      </c>
    </row>
    <row r="785" spans="1:50" s="1" customFormat="1" ht="24.95" customHeight="1" outlineLevel="3" x14ac:dyDescent="0.2">
      <c r="A785" s="11"/>
      <c r="B785" s="12">
        <v>990</v>
      </c>
      <c r="C785" s="15">
        <v>1490</v>
      </c>
      <c r="D785" s="12">
        <v>17911</v>
      </c>
      <c r="E785" s="13" t="s">
        <v>2519</v>
      </c>
      <c r="F785" s="13" t="s">
        <v>2523</v>
      </c>
      <c r="G785" s="13" t="s">
        <v>56</v>
      </c>
      <c r="H785" s="13" t="s">
        <v>40</v>
      </c>
      <c r="I785" s="12">
        <v>2025</v>
      </c>
      <c r="J785" s="13" t="s">
        <v>2524</v>
      </c>
      <c r="K785" s="12">
        <v>9785961440157</v>
      </c>
      <c r="L785" s="13" t="s">
        <v>2525</v>
      </c>
      <c r="M785" s="12">
        <v>935</v>
      </c>
      <c r="N785" s="14">
        <v>1.02</v>
      </c>
      <c r="O785" s="12">
        <v>146</v>
      </c>
      <c r="P785" s="12">
        <v>216</v>
      </c>
      <c r="Q785" s="12">
        <v>6</v>
      </c>
      <c r="R785" s="13" t="s">
        <v>43</v>
      </c>
      <c r="S785" s="13"/>
      <c r="T785" s="15">
        <v>5000</v>
      </c>
      <c r="U785" s="13" t="s">
        <v>52</v>
      </c>
      <c r="V785" s="13" t="s">
        <v>45</v>
      </c>
      <c r="W785" s="12">
        <v>10</v>
      </c>
      <c r="X785" s="33" t="str">
        <f>HYPERLINK("https://www.alpinabook.ru/catalog/book-zakony-chelovecheskoy-prirody","ссылка на книгу")</f>
        <v>ссылка на книгу</v>
      </c>
      <c r="Y785" s="34" t="str">
        <f>HYPERLINK("https://api-enni.alpina.ru/FilePrivilegesApproval/128","https://api-enni.alpina.ru/FilePrivilegesApproval/128")</f>
        <v>https://api-enni.alpina.ru/FilePrivilegesApproval/128</v>
      </c>
      <c r="Z785" s="13" t="s">
        <v>1431</v>
      </c>
      <c r="AT785" s="1">
        <f t="shared" si="118"/>
        <v>0</v>
      </c>
      <c r="AU785" s="1">
        <f t="shared" si="119"/>
        <v>0</v>
      </c>
      <c r="AV785" s="1">
        <f t="shared" si="120"/>
        <v>0</v>
      </c>
      <c r="AW785" s="1">
        <f t="shared" si="121"/>
        <v>0</v>
      </c>
      <c r="AX785" s="1">
        <f t="shared" si="122"/>
        <v>0</v>
      </c>
    </row>
    <row r="786" spans="1:50" s="1" customFormat="1" ht="24.95" customHeight="1" outlineLevel="3" x14ac:dyDescent="0.2">
      <c r="A786" s="11"/>
      <c r="B786" s="12">
        <v>690</v>
      </c>
      <c r="C786" s="12">
        <v>990</v>
      </c>
      <c r="D786" s="12">
        <v>23526</v>
      </c>
      <c r="E786" s="13" t="s">
        <v>2526</v>
      </c>
      <c r="F786" s="13" t="s">
        <v>2527</v>
      </c>
      <c r="G786" s="13" t="s">
        <v>86</v>
      </c>
      <c r="H786" s="13" t="s">
        <v>40</v>
      </c>
      <c r="I786" s="12">
        <v>2023</v>
      </c>
      <c r="J786" s="13" t="s">
        <v>2528</v>
      </c>
      <c r="K786" s="12">
        <v>9785001398004</v>
      </c>
      <c r="L786" s="13" t="s">
        <v>2529</v>
      </c>
      <c r="M786" s="12">
        <v>320</v>
      </c>
      <c r="N786" s="14">
        <v>0.3</v>
      </c>
      <c r="O786" s="12">
        <v>140</v>
      </c>
      <c r="P786" s="12">
        <v>210</v>
      </c>
      <c r="Q786" s="12">
        <v>12</v>
      </c>
      <c r="R786" s="13" t="s">
        <v>43</v>
      </c>
      <c r="S786" s="13"/>
      <c r="T786" s="15">
        <v>2000</v>
      </c>
      <c r="U786" s="13" t="s">
        <v>44</v>
      </c>
      <c r="V786" s="13" t="s">
        <v>45</v>
      </c>
      <c r="W786" s="12">
        <v>10</v>
      </c>
      <c r="X786" s="33" t="str">
        <f>HYPERLINK("https://www.alpinabook.ru/catalog/book-iskateli-zakonomernostey","ссылка на книгу")</f>
        <v>ссылка на книгу</v>
      </c>
      <c r="Y786" s="34" t="str">
        <f>HYPERLINK("https://api-enni.alpina.ru/FilePrivilegesApproval/171","https://api-enni.alpina.ru/FilePrivilegesApproval/171")</f>
        <v>https://api-enni.alpina.ru/FilePrivilegesApproval/171</v>
      </c>
      <c r="Z786" s="13"/>
      <c r="AT786" s="1">
        <f t="shared" si="118"/>
        <v>0</v>
      </c>
      <c r="AU786" s="1">
        <f t="shared" si="119"/>
        <v>0</v>
      </c>
      <c r="AV786" s="1">
        <f t="shared" si="120"/>
        <v>0</v>
      </c>
      <c r="AW786" s="1">
        <f t="shared" si="121"/>
        <v>0</v>
      </c>
      <c r="AX786" s="1">
        <f t="shared" si="122"/>
        <v>0</v>
      </c>
    </row>
    <row r="787" spans="1:50" s="1" customFormat="1" ht="24.95" customHeight="1" outlineLevel="3" x14ac:dyDescent="0.2">
      <c r="A787" s="11"/>
      <c r="B787" s="12">
        <v>490</v>
      </c>
      <c r="C787" s="12">
        <v>640</v>
      </c>
      <c r="D787" s="12">
        <v>23799</v>
      </c>
      <c r="E787" s="13" t="s">
        <v>2530</v>
      </c>
      <c r="F787" s="13" t="s">
        <v>2531</v>
      </c>
      <c r="G787" s="13" t="s">
        <v>86</v>
      </c>
      <c r="H787" s="13" t="s">
        <v>40</v>
      </c>
      <c r="I787" s="12">
        <v>2025</v>
      </c>
      <c r="J787" s="13" t="s">
        <v>2532</v>
      </c>
      <c r="K787" s="12">
        <v>9785001397267</v>
      </c>
      <c r="L787" s="13" t="s">
        <v>2533</v>
      </c>
      <c r="M787" s="12">
        <v>90</v>
      </c>
      <c r="N787" s="14">
        <v>0.16</v>
      </c>
      <c r="O787" s="12">
        <v>120</v>
      </c>
      <c r="P787" s="12">
        <v>180</v>
      </c>
      <c r="Q787" s="12">
        <v>28</v>
      </c>
      <c r="R787" s="13" t="s">
        <v>75</v>
      </c>
      <c r="S787" s="13"/>
      <c r="T787" s="15">
        <v>1500</v>
      </c>
      <c r="U787" s="13" t="s">
        <v>52</v>
      </c>
      <c r="V787" s="13" t="s">
        <v>59</v>
      </c>
      <c r="W787" s="12">
        <v>10</v>
      </c>
      <c r="X787" s="33" t="str">
        <f>HYPERLINK("https://www.alpinabook.ru/catalog/book-kak-zhit","ссылка на книгу")</f>
        <v>ссылка на книгу</v>
      </c>
      <c r="Y787" s="34" t="str">
        <f>HYPERLINK("https://api-enni.alpina.ru/FilePrivilegesApproval/190","https://api-enni.alpina.ru/FilePrivilegesApproval/190")</f>
        <v>https://api-enni.alpina.ru/FilePrivilegesApproval/190</v>
      </c>
      <c r="Z787" s="13" t="s">
        <v>865</v>
      </c>
      <c r="AT787" s="1">
        <f t="shared" si="118"/>
        <v>0</v>
      </c>
      <c r="AU787" s="1">
        <f t="shared" si="119"/>
        <v>0</v>
      </c>
      <c r="AV787" s="1">
        <f t="shared" si="120"/>
        <v>0</v>
      </c>
      <c r="AW787" s="1">
        <f t="shared" si="121"/>
        <v>0</v>
      </c>
      <c r="AX787" s="1">
        <f t="shared" si="122"/>
        <v>0</v>
      </c>
    </row>
    <row r="788" spans="1:50" s="1" customFormat="1" ht="24.95" customHeight="1" outlineLevel="3" x14ac:dyDescent="0.2">
      <c r="A788" s="11"/>
      <c r="B788" s="12">
        <v>590</v>
      </c>
      <c r="C788" s="12">
        <v>840</v>
      </c>
      <c r="D788" s="12">
        <v>5188</v>
      </c>
      <c r="E788" s="13" t="s">
        <v>291</v>
      </c>
      <c r="F788" s="13" t="s">
        <v>486</v>
      </c>
      <c r="G788" s="13" t="s">
        <v>56</v>
      </c>
      <c r="H788" s="13" t="s">
        <v>40</v>
      </c>
      <c r="I788" s="12">
        <v>2018</v>
      </c>
      <c r="J788" s="13" t="s">
        <v>487</v>
      </c>
      <c r="K788" s="12">
        <v>9785961466935</v>
      </c>
      <c r="L788" s="13" t="s">
        <v>488</v>
      </c>
      <c r="M788" s="12">
        <v>422</v>
      </c>
      <c r="N788" s="14">
        <v>0.64</v>
      </c>
      <c r="O788" s="12">
        <v>160</v>
      </c>
      <c r="P788" s="12">
        <v>220</v>
      </c>
      <c r="Q788" s="12">
        <v>5</v>
      </c>
      <c r="R788" s="13" t="s">
        <v>43</v>
      </c>
      <c r="S788" s="13"/>
      <c r="T788" s="15">
        <v>1000</v>
      </c>
      <c r="U788" s="13" t="s">
        <v>52</v>
      </c>
      <c r="V788" s="13" t="s">
        <v>64</v>
      </c>
      <c r="W788" s="12">
        <v>10</v>
      </c>
      <c r="X788" s="33" t="str">
        <f>HYPERLINK("https://www.alpinabook.ru/catalog/book-kapitalizm","ссылка на книгу")</f>
        <v>ссылка на книгу</v>
      </c>
      <c r="Y788" s="34" t="str">
        <f>HYPERLINK("https://api-enni.alpina.ru/FilePrivilegesApproval/2","https://api-enni.alpina.ru/FilePrivilegesApproval/2")</f>
        <v>https://api-enni.alpina.ru/FilePrivilegesApproval/2</v>
      </c>
      <c r="Z788" s="13" t="s">
        <v>282</v>
      </c>
      <c r="AT788" s="1">
        <f t="shared" si="118"/>
        <v>0</v>
      </c>
      <c r="AU788" s="1">
        <f t="shared" si="119"/>
        <v>0</v>
      </c>
      <c r="AV788" s="1">
        <f t="shared" si="120"/>
        <v>0</v>
      </c>
      <c r="AW788" s="1">
        <f t="shared" si="121"/>
        <v>0</v>
      </c>
      <c r="AX788" s="1">
        <f t="shared" si="122"/>
        <v>0</v>
      </c>
    </row>
    <row r="789" spans="1:50" s="1" customFormat="1" ht="24.95" customHeight="1" outlineLevel="3" x14ac:dyDescent="0.2">
      <c r="A789" s="11"/>
      <c r="B789" s="12">
        <v>690</v>
      </c>
      <c r="C789" s="12">
        <v>990</v>
      </c>
      <c r="D789" s="12">
        <v>24201</v>
      </c>
      <c r="E789" s="13" t="s">
        <v>2534</v>
      </c>
      <c r="F789" s="13" t="s">
        <v>2535</v>
      </c>
      <c r="G789" s="13" t="s">
        <v>86</v>
      </c>
      <c r="H789" s="13" t="s">
        <v>40</v>
      </c>
      <c r="I789" s="12">
        <v>2025</v>
      </c>
      <c r="J789" s="13" t="s">
        <v>2536</v>
      </c>
      <c r="K789" s="12">
        <v>9785002230662</v>
      </c>
      <c r="L789" s="13" t="s">
        <v>2537</v>
      </c>
      <c r="M789" s="12">
        <v>350</v>
      </c>
      <c r="N789" s="14">
        <v>0.51</v>
      </c>
      <c r="O789" s="12">
        <v>150</v>
      </c>
      <c r="P789" s="12">
        <v>220</v>
      </c>
      <c r="Q789" s="12">
        <v>10</v>
      </c>
      <c r="R789" s="13" t="s">
        <v>43</v>
      </c>
      <c r="S789" s="13"/>
      <c r="T789" s="15">
        <v>1500</v>
      </c>
      <c r="U789" s="13" t="s">
        <v>52</v>
      </c>
      <c r="V789" s="13" t="s">
        <v>45</v>
      </c>
      <c r="W789" s="12">
        <v>10</v>
      </c>
      <c r="X789" s="33" t="str">
        <f>HYPERLINK("https://www.alpinabook.ru/catalog/book-metod-sokrata","ссылка на книгу")</f>
        <v>ссылка на книгу</v>
      </c>
      <c r="Y789" s="34" t="str">
        <f>HYPERLINK("https://api-enni.alpina.ru/FilePrivilegesApproval/298","https://api-enni.alpina.ru/FilePrivilegesApproval/298")</f>
        <v>https://api-enni.alpina.ru/FilePrivilegesApproval/298</v>
      </c>
      <c r="Z789" s="13"/>
      <c r="AT789" s="1">
        <f t="shared" si="118"/>
        <v>0</v>
      </c>
      <c r="AU789" s="1">
        <f t="shared" si="119"/>
        <v>0</v>
      </c>
      <c r="AV789" s="1">
        <f t="shared" si="120"/>
        <v>0</v>
      </c>
      <c r="AW789" s="1">
        <f t="shared" si="121"/>
        <v>0</v>
      </c>
      <c r="AX789" s="1">
        <f t="shared" si="122"/>
        <v>0</v>
      </c>
    </row>
    <row r="790" spans="1:50" s="1" customFormat="1" ht="24.95" customHeight="1" outlineLevel="3" x14ac:dyDescent="0.2">
      <c r="A790" s="26"/>
      <c r="B790" s="27">
        <v>650</v>
      </c>
      <c r="C790" s="27">
        <v>940</v>
      </c>
      <c r="D790" s="27">
        <v>11382</v>
      </c>
      <c r="E790" s="29" t="s">
        <v>2538</v>
      </c>
      <c r="F790" s="29" t="s">
        <v>2539</v>
      </c>
      <c r="G790" s="29" t="s">
        <v>86</v>
      </c>
      <c r="H790" s="29" t="s">
        <v>40</v>
      </c>
      <c r="I790" s="27">
        <v>2020</v>
      </c>
      <c r="J790" s="29" t="s">
        <v>2540</v>
      </c>
      <c r="K790" s="27">
        <v>9785001390787</v>
      </c>
      <c r="L790" s="29" t="s">
        <v>2541</v>
      </c>
      <c r="M790" s="27">
        <v>410</v>
      </c>
      <c r="N790" s="30">
        <v>0.5</v>
      </c>
      <c r="O790" s="27">
        <v>150</v>
      </c>
      <c r="P790" s="27">
        <v>220</v>
      </c>
      <c r="Q790" s="27">
        <v>4</v>
      </c>
      <c r="R790" s="29" t="s">
        <v>43</v>
      </c>
      <c r="S790" s="29"/>
      <c r="T790" s="28">
        <v>1000</v>
      </c>
      <c r="U790" s="29" t="s">
        <v>52</v>
      </c>
      <c r="V790" s="29" t="s">
        <v>59</v>
      </c>
      <c r="W790" s="27">
        <v>10</v>
      </c>
      <c r="X790" s="37" t="str">
        <f>HYPERLINK("https://www.alpinabook.ru/catalog/book-mechta-o-prosveshchenii","ссылка на книгу")</f>
        <v>ссылка на книгу</v>
      </c>
      <c r="Y790" s="38" t="str">
        <f>HYPERLINK("https://api-enni.alpina.ru/FilePrivilegesApproval/263","https://api-enni.alpina.ru/FilePrivilegesApproval/263")</f>
        <v>https://api-enni.alpina.ru/FilePrivilegesApproval/263</v>
      </c>
      <c r="Z790" s="29"/>
      <c r="AT790" s="1">
        <f t="shared" si="118"/>
        <v>0</v>
      </c>
      <c r="AU790" s="1">
        <f t="shared" si="119"/>
        <v>0</v>
      </c>
      <c r="AV790" s="1">
        <f t="shared" si="120"/>
        <v>0</v>
      </c>
      <c r="AW790" s="1">
        <f t="shared" si="121"/>
        <v>0</v>
      </c>
      <c r="AX790" s="1">
        <f t="shared" si="122"/>
        <v>0</v>
      </c>
    </row>
    <row r="791" spans="1:50" s="1" customFormat="1" ht="24.95" customHeight="1" outlineLevel="3" x14ac:dyDescent="0.2">
      <c r="A791" s="11"/>
      <c r="B791" s="12">
        <v>640</v>
      </c>
      <c r="C791" s="12">
        <v>940</v>
      </c>
      <c r="D791" s="12">
        <v>6303</v>
      </c>
      <c r="E791" s="13" t="s">
        <v>559</v>
      </c>
      <c r="F791" s="13" t="s">
        <v>560</v>
      </c>
      <c r="G791" s="13" t="s">
        <v>86</v>
      </c>
      <c r="H791" s="13" t="s">
        <v>40</v>
      </c>
      <c r="I791" s="12">
        <v>2018</v>
      </c>
      <c r="J791" s="13" t="s">
        <v>561</v>
      </c>
      <c r="K791" s="12">
        <v>9785916717877</v>
      </c>
      <c r="L791" s="13" t="s">
        <v>562</v>
      </c>
      <c r="M791" s="12">
        <v>296</v>
      </c>
      <c r="N791" s="14">
        <v>0.46</v>
      </c>
      <c r="O791" s="12">
        <v>146</v>
      </c>
      <c r="P791" s="12">
        <v>216</v>
      </c>
      <c r="Q791" s="12">
        <v>6</v>
      </c>
      <c r="R791" s="13" t="s">
        <v>43</v>
      </c>
      <c r="S791" s="13"/>
      <c r="T791" s="15">
        <v>1000</v>
      </c>
      <c r="U791" s="13" t="s">
        <v>52</v>
      </c>
      <c r="V791" s="13" t="s">
        <v>45</v>
      </c>
      <c r="W791" s="12">
        <v>10</v>
      </c>
      <c r="X791" s="33" t="str">
        <f>HYPERLINK("https://www.alpinabook.ru/catalog/book-milliardy-i-milliardy","ссылка на книгу")</f>
        <v>ссылка на книгу</v>
      </c>
      <c r="Y791" s="34" t="str">
        <f>HYPERLINK("https://api-enni.alpina.ru/FilePrivilegesApproval/131","https://api-enni.alpina.ru/FilePrivilegesApproval/131")</f>
        <v>https://api-enni.alpina.ru/FilePrivilegesApproval/131</v>
      </c>
      <c r="Z791" s="13" t="s">
        <v>65</v>
      </c>
      <c r="AT791" s="1">
        <f t="shared" si="118"/>
        <v>0</v>
      </c>
      <c r="AU791" s="1">
        <f t="shared" si="119"/>
        <v>0</v>
      </c>
      <c r="AV791" s="1">
        <f t="shared" si="120"/>
        <v>0</v>
      </c>
      <c r="AW791" s="1">
        <f t="shared" si="121"/>
        <v>0</v>
      </c>
      <c r="AX791" s="1">
        <f t="shared" si="122"/>
        <v>0</v>
      </c>
    </row>
    <row r="792" spans="1:50" s="1" customFormat="1" ht="24.95" customHeight="1" outlineLevel="3" x14ac:dyDescent="0.2">
      <c r="A792" s="11"/>
      <c r="B792" s="12">
        <v>370</v>
      </c>
      <c r="C792" s="12">
        <v>590</v>
      </c>
      <c r="D792" s="12">
        <v>28789</v>
      </c>
      <c r="E792" s="13" t="s">
        <v>559</v>
      </c>
      <c r="F792" s="13" t="s">
        <v>2542</v>
      </c>
      <c r="G792" s="13" t="s">
        <v>86</v>
      </c>
      <c r="H792" s="13" t="s">
        <v>40</v>
      </c>
      <c r="I792" s="12">
        <v>2024</v>
      </c>
      <c r="J792" s="13" t="s">
        <v>2543</v>
      </c>
      <c r="K792" s="12">
        <v>9785002230563</v>
      </c>
      <c r="L792" s="13" t="s">
        <v>2544</v>
      </c>
      <c r="M792" s="12">
        <v>560</v>
      </c>
      <c r="N792" s="14">
        <v>0.37</v>
      </c>
      <c r="O792" s="12">
        <v>120</v>
      </c>
      <c r="P792" s="12">
        <v>170</v>
      </c>
      <c r="Q792" s="12">
        <v>10</v>
      </c>
      <c r="R792" s="13" t="s">
        <v>75</v>
      </c>
      <c r="S792" s="13" t="s">
        <v>596</v>
      </c>
      <c r="T792" s="15">
        <v>2000</v>
      </c>
      <c r="U792" s="13" t="s">
        <v>44</v>
      </c>
      <c r="V792" s="13" t="s">
        <v>89</v>
      </c>
      <c r="W792" s="12">
        <v>10</v>
      </c>
      <c r="X792" s="33" t="str">
        <f>HYPERLINK("https://www.alpinabook.ru/catalog/book-mozg-broka","ссылка на книгу")</f>
        <v>ссылка на книгу</v>
      </c>
      <c r="Y792" s="34" t="str">
        <f>HYPERLINK("https://api-enni.alpina.ru/FilePrivilegesApproval/190","https://api-enni.alpina.ru/FilePrivilegesApproval/190")</f>
        <v>https://api-enni.alpina.ru/FilePrivilegesApproval/190</v>
      </c>
      <c r="Z792" s="13"/>
      <c r="AT792" s="1">
        <f t="shared" si="118"/>
        <v>0</v>
      </c>
      <c r="AU792" s="1">
        <f t="shared" si="119"/>
        <v>0</v>
      </c>
      <c r="AV792" s="1">
        <f t="shared" si="120"/>
        <v>0</v>
      </c>
      <c r="AW792" s="1">
        <f t="shared" si="121"/>
        <v>0</v>
      </c>
      <c r="AX792" s="1">
        <f t="shared" si="122"/>
        <v>0</v>
      </c>
    </row>
    <row r="793" spans="1:50" s="1" customFormat="1" ht="24.95" customHeight="1" outlineLevel="3" x14ac:dyDescent="0.2">
      <c r="A793" s="11"/>
      <c r="B793" s="12">
        <v>840</v>
      </c>
      <c r="C793" s="12">
        <v>840</v>
      </c>
      <c r="D793" s="12">
        <v>21064</v>
      </c>
      <c r="E793" s="13" t="s">
        <v>2545</v>
      </c>
      <c r="F793" s="13" t="s">
        <v>2546</v>
      </c>
      <c r="G793" s="13" t="s">
        <v>86</v>
      </c>
      <c r="H793" s="13" t="s">
        <v>40</v>
      </c>
      <c r="I793" s="12">
        <v>2022</v>
      </c>
      <c r="J793" s="13" t="s">
        <v>2547</v>
      </c>
      <c r="K793" s="12">
        <v>9785001394112</v>
      </c>
      <c r="L793" s="13" t="s">
        <v>2548</v>
      </c>
      <c r="M793" s="12">
        <v>428</v>
      </c>
      <c r="N793" s="14">
        <v>0.59</v>
      </c>
      <c r="O793" s="12">
        <v>146</v>
      </c>
      <c r="P793" s="12">
        <v>216</v>
      </c>
      <c r="Q793" s="12">
        <v>8</v>
      </c>
      <c r="R793" s="13" t="s">
        <v>43</v>
      </c>
      <c r="S793" s="13"/>
      <c r="T793" s="15">
        <v>2000</v>
      </c>
      <c r="U793" s="13" t="s">
        <v>52</v>
      </c>
      <c r="V793" s="13" t="s">
        <v>45</v>
      </c>
      <c r="W793" s="12">
        <v>10</v>
      </c>
      <c r="X793" s="33" t="str">
        <f>HYPERLINK("https://www.alpinabook.ru/catalog/book-ne-vchera-rodilsya","ссылка на книгу")</f>
        <v>ссылка на книгу</v>
      </c>
      <c r="Y793" s="34" t="str">
        <f>HYPERLINK("https://api-enni.alpina.ru/FilePrivilegesApproval/171","https://api-enni.alpina.ru/FilePrivilegesApproval/171")</f>
        <v>https://api-enni.alpina.ru/FilePrivilegesApproval/171</v>
      </c>
      <c r="Z793" s="13"/>
      <c r="AT793" s="1">
        <f t="shared" si="118"/>
        <v>0</v>
      </c>
      <c r="AU793" s="1">
        <f t="shared" si="119"/>
        <v>0</v>
      </c>
      <c r="AV793" s="1">
        <f t="shared" si="120"/>
        <v>0</v>
      </c>
      <c r="AW793" s="1">
        <f t="shared" si="121"/>
        <v>0</v>
      </c>
      <c r="AX793" s="1">
        <f t="shared" si="122"/>
        <v>0</v>
      </c>
    </row>
    <row r="794" spans="1:50" s="1" customFormat="1" ht="24.95" customHeight="1" outlineLevel="3" x14ac:dyDescent="0.2">
      <c r="A794" s="11"/>
      <c r="B794" s="12">
        <v>590</v>
      </c>
      <c r="C794" s="12">
        <v>840</v>
      </c>
      <c r="D794" s="12">
        <v>28605</v>
      </c>
      <c r="E794" s="13" t="s">
        <v>2549</v>
      </c>
      <c r="F794" s="13" t="s">
        <v>2550</v>
      </c>
      <c r="G794" s="13" t="s">
        <v>86</v>
      </c>
      <c r="H794" s="13" t="s">
        <v>40</v>
      </c>
      <c r="I794" s="12">
        <v>2024</v>
      </c>
      <c r="J794" s="13" t="s">
        <v>2551</v>
      </c>
      <c r="K794" s="12">
        <v>9785002230327</v>
      </c>
      <c r="L794" s="13" t="s">
        <v>2552</v>
      </c>
      <c r="M794" s="12">
        <v>272</v>
      </c>
      <c r="N794" s="14">
        <v>0.35</v>
      </c>
      <c r="O794" s="12">
        <v>150</v>
      </c>
      <c r="P794" s="12">
        <v>220</v>
      </c>
      <c r="Q794" s="12">
        <v>12</v>
      </c>
      <c r="R794" s="13" t="s">
        <v>43</v>
      </c>
      <c r="S794" s="13"/>
      <c r="T794" s="15">
        <v>2000</v>
      </c>
      <c r="U794" s="13" t="s">
        <v>52</v>
      </c>
      <c r="V794" s="13" t="s">
        <v>45</v>
      </c>
      <c r="W794" s="12">
        <v>10</v>
      </c>
      <c r="X794" s="33" t="str">
        <f>HYPERLINK("https://www.alpinabook.ru/catalog/book-novoe-prosveshchenie-i-borba-za-svobodu-znaniya","ссылка на книгу")</f>
        <v>ссылка на книгу</v>
      </c>
      <c r="Y794" s="34" t="str">
        <f>HYPERLINK("https://api-enni.alpina.ru/FilePrivilegesApproval/337","https://api-enni.alpina.ru/FilePrivilegesApproval/337")</f>
        <v>https://api-enni.alpina.ru/FilePrivilegesApproval/337</v>
      </c>
      <c r="Z794" s="13"/>
      <c r="AT794" s="1">
        <f t="shared" si="118"/>
        <v>0</v>
      </c>
      <c r="AU794" s="1">
        <f t="shared" si="119"/>
        <v>0</v>
      </c>
      <c r="AV794" s="1">
        <f t="shared" si="120"/>
        <v>0</v>
      </c>
      <c r="AW794" s="1">
        <f t="shared" si="121"/>
        <v>0</v>
      </c>
      <c r="AX794" s="1">
        <f t="shared" si="122"/>
        <v>0</v>
      </c>
    </row>
    <row r="795" spans="1:50" s="1" customFormat="1" ht="24.95" customHeight="1" outlineLevel="3" x14ac:dyDescent="0.2">
      <c r="A795" s="11"/>
      <c r="B795" s="12">
        <v>490</v>
      </c>
      <c r="C795" s="12">
        <v>740</v>
      </c>
      <c r="D795" s="12">
        <v>18564</v>
      </c>
      <c r="E795" s="13" t="s">
        <v>727</v>
      </c>
      <c r="F795" s="13" t="s">
        <v>2553</v>
      </c>
      <c r="G795" s="13" t="s">
        <v>86</v>
      </c>
      <c r="H795" s="13" t="s">
        <v>164</v>
      </c>
      <c r="I795" s="12">
        <v>2025</v>
      </c>
      <c r="J795" s="13" t="s">
        <v>2554</v>
      </c>
      <c r="K795" s="12">
        <v>9785001395171</v>
      </c>
      <c r="L795" s="13" t="s">
        <v>2555</v>
      </c>
      <c r="M795" s="12">
        <v>218</v>
      </c>
      <c r="N795" s="14">
        <v>0.2</v>
      </c>
      <c r="O795" s="12">
        <v>120</v>
      </c>
      <c r="P795" s="12">
        <v>170</v>
      </c>
      <c r="Q795" s="12">
        <v>18</v>
      </c>
      <c r="R795" s="13" t="s">
        <v>731</v>
      </c>
      <c r="S795" s="13"/>
      <c r="T795" s="15">
        <v>2000</v>
      </c>
      <c r="U795" s="13" t="s">
        <v>52</v>
      </c>
      <c r="V795" s="13" t="s">
        <v>45</v>
      </c>
      <c r="W795" s="12">
        <v>10</v>
      </c>
      <c r="X795" s="33" t="str">
        <f>HYPERLINK("https://www.alpinabook.ru/catalog/book-podsoznatelnyy-bog","ссылка на книгу")</f>
        <v>ссылка на книгу</v>
      </c>
      <c r="Y795" s="34" t="str">
        <f>HYPERLINK("https://api-enni.alpina.ru/FilePrivilegesApproval/190","https://api-enni.alpina.ru/FilePrivilegesApproval/190")</f>
        <v>https://api-enni.alpina.ru/FilePrivilegesApproval/190</v>
      </c>
      <c r="Z795" s="13" t="s">
        <v>374</v>
      </c>
      <c r="AT795" s="1">
        <f t="shared" si="118"/>
        <v>0</v>
      </c>
      <c r="AU795" s="1">
        <f t="shared" si="119"/>
        <v>0</v>
      </c>
      <c r="AV795" s="1">
        <f t="shared" si="120"/>
        <v>0</v>
      </c>
      <c r="AW795" s="1">
        <f t="shared" si="121"/>
        <v>0</v>
      </c>
      <c r="AX795" s="1">
        <f t="shared" si="122"/>
        <v>0</v>
      </c>
    </row>
    <row r="796" spans="1:50" s="1" customFormat="1" ht="21.95" customHeight="1" outlineLevel="3" x14ac:dyDescent="0.2">
      <c r="A796" s="11"/>
      <c r="B796" s="12">
        <v>690</v>
      </c>
      <c r="C796" s="12">
        <v>990</v>
      </c>
      <c r="D796" s="12">
        <v>22824</v>
      </c>
      <c r="E796" s="13" t="s">
        <v>2556</v>
      </c>
      <c r="F796" s="13" t="s">
        <v>2557</v>
      </c>
      <c r="G796" s="13" t="s">
        <v>86</v>
      </c>
      <c r="H796" s="13" t="s">
        <v>40</v>
      </c>
      <c r="I796" s="12">
        <v>2022</v>
      </c>
      <c r="J796" s="13" t="s">
        <v>2558</v>
      </c>
      <c r="K796" s="12">
        <v>9785001397564</v>
      </c>
      <c r="L796" s="13" t="s">
        <v>2559</v>
      </c>
      <c r="M796" s="12">
        <v>372</v>
      </c>
      <c r="N796" s="14">
        <v>0.55000000000000004</v>
      </c>
      <c r="O796" s="12">
        <v>146</v>
      </c>
      <c r="P796" s="12">
        <v>216</v>
      </c>
      <c r="Q796" s="12">
        <v>12</v>
      </c>
      <c r="R796" s="13" t="s">
        <v>43</v>
      </c>
      <c r="S796" s="13"/>
      <c r="T796" s="15">
        <v>2500</v>
      </c>
      <c r="U796" s="13" t="s">
        <v>52</v>
      </c>
      <c r="V796" s="13" t="s">
        <v>89</v>
      </c>
      <c r="W796" s="12">
        <v>20</v>
      </c>
      <c r="X796" s="33" t="str">
        <f>HYPERLINK("https://www.alpinabook.ru/catalog/book-pochemu-muzhchiny-delayut-eto","ссылка на книгу")</f>
        <v>ссылка на книгу</v>
      </c>
      <c r="Y796" s="34" t="str">
        <f>HYPERLINK("","")</f>
        <v/>
      </c>
      <c r="Z796" s="13"/>
      <c r="AT796" s="1">
        <f t="shared" si="118"/>
        <v>0</v>
      </c>
      <c r="AU796" s="1">
        <f t="shared" si="119"/>
        <v>0</v>
      </c>
      <c r="AV796" s="1">
        <f t="shared" si="120"/>
        <v>0</v>
      </c>
      <c r="AW796" s="1">
        <f t="shared" si="121"/>
        <v>0</v>
      </c>
      <c r="AX796" s="1">
        <f t="shared" si="122"/>
        <v>0</v>
      </c>
    </row>
    <row r="797" spans="1:50" s="1" customFormat="1" ht="24.95" customHeight="1" outlineLevel="3" x14ac:dyDescent="0.2">
      <c r="A797" s="11"/>
      <c r="B797" s="12">
        <v>290</v>
      </c>
      <c r="C797" s="12">
        <v>440</v>
      </c>
      <c r="D797" s="12">
        <v>27647</v>
      </c>
      <c r="E797" s="13" t="s">
        <v>2560</v>
      </c>
      <c r="F797" s="13" t="s">
        <v>2561</v>
      </c>
      <c r="G797" s="13" t="s">
        <v>56</v>
      </c>
      <c r="H797" s="13" t="s">
        <v>40</v>
      </c>
      <c r="I797" s="12">
        <v>2025</v>
      </c>
      <c r="J797" s="13" t="s">
        <v>2562</v>
      </c>
      <c r="K797" s="12">
        <v>9785961485912</v>
      </c>
      <c r="L797" s="13" t="s">
        <v>2563</v>
      </c>
      <c r="M797" s="12">
        <v>352</v>
      </c>
      <c r="N797" s="14">
        <v>0.23</v>
      </c>
      <c r="O797" s="12">
        <v>120</v>
      </c>
      <c r="P797" s="12">
        <v>170</v>
      </c>
      <c r="Q797" s="12">
        <v>16</v>
      </c>
      <c r="R797" s="13" t="s">
        <v>75</v>
      </c>
      <c r="S797" s="13" t="s">
        <v>76</v>
      </c>
      <c r="T797" s="15">
        <v>3000</v>
      </c>
      <c r="U797" s="13" t="s">
        <v>44</v>
      </c>
      <c r="V797" s="13" t="s">
        <v>89</v>
      </c>
      <c r="W797" s="12">
        <v>10</v>
      </c>
      <c r="X797" s="33" t="str">
        <f>HYPERLINK("https://www.alpinabook.ru/catalog/book-psikhologiya-zla","ссылка на книгу")</f>
        <v>ссылка на книгу</v>
      </c>
      <c r="Y797" s="34" t="str">
        <f>HYPERLINK("https://api-enni.alpina.ru/FilePrivilegesApproval/172","https://api-enni.alpina.ru/FilePrivilegesApproval/172")</f>
        <v>https://api-enni.alpina.ru/FilePrivilegesApproval/172</v>
      </c>
      <c r="Z797" s="13" t="s">
        <v>77</v>
      </c>
      <c r="AT797" s="1">
        <f t="shared" si="118"/>
        <v>0</v>
      </c>
      <c r="AU797" s="1">
        <f t="shared" si="119"/>
        <v>0</v>
      </c>
      <c r="AV797" s="1">
        <f t="shared" si="120"/>
        <v>0</v>
      </c>
      <c r="AW797" s="1">
        <f t="shared" si="121"/>
        <v>0</v>
      </c>
      <c r="AX797" s="1">
        <f t="shared" si="122"/>
        <v>0</v>
      </c>
    </row>
    <row r="798" spans="1:50" s="1" customFormat="1" ht="24.95" customHeight="1" outlineLevel="3" x14ac:dyDescent="0.2">
      <c r="A798" s="11"/>
      <c r="B798" s="12">
        <v>540</v>
      </c>
      <c r="C798" s="12">
        <v>790</v>
      </c>
      <c r="D798" s="12">
        <v>26499</v>
      </c>
      <c r="E798" s="13" t="s">
        <v>2564</v>
      </c>
      <c r="F798" s="13" t="s">
        <v>2565</v>
      </c>
      <c r="G798" s="13" t="s">
        <v>56</v>
      </c>
      <c r="H798" s="13" t="s">
        <v>40</v>
      </c>
      <c r="I798" s="12">
        <v>2023</v>
      </c>
      <c r="J798" s="13" t="s">
        <v>2566</v>
      </c>
      <c r="K798" s="12">
        <v>9785961481327</v>
      </c>
      <c r="L798" s="13" t="s">
        <v>2567</v>
      </c>
      <c r="M798" s="12">
        <v>320</v>
      </c>
      <c r="N798" s="14">
        <v>0.38</v>
      </c>
      <c r="O798" s="12">
        <v>140</v>
      </c>
      <c r="P798" s="12">
        <v>210</v>
      </c>
      <c r="Q798" s="12">
        <v>14</v>
      </c>
      <c r="R798" s="13" t="s">
        <v>43</v>
      </c>
      <c r="S798" s="13"/>
      <c r="T798" s="15">
        <v>3000</v>
      </c>
      <c r="U798" s="13" t="s">
        <v>44</v>
      </c>
      <c r="V798" s="13" t="s">
        <v>89</v>
      </c>
      <c r="W798" s="12">
        <v>10</v>
      </c>
      <c r="X798" s="33" t="str">
        <f>HYPERLINK("https://www.alpinabook.ru/catalog/book-psikhologiya-ubiytsy-otkroveniya-tyuremnogo-psikhiatra","ссылка на книгу")</f>
        <v>ссылка на книгу</v>
      </c>
      <c r="Y798" s="34" t="str">
        <f>HYPERLINK("https://api-enni.alpina.ru/FilePrivilegesApproval/290","https://api-enni.alpina.ru/FilePrivilegesApproval/290")</f>
        <v>https://api-enni.alpina.ru/FilePrivilegesApproval/290</v>
      </c>
      <c r="Z798" s="13"/>
      <c r="AT798" s="1">
        <f t="shared" si="118"/>
        <v>0</v>
      </c>
      <c r="AU798" s="1">
        <f t="shared" si="119"/>
        <v>0</v>
      </c>
      <c r="AV798" s="1">
        <f t="shared" si="120"/>
        <v>0</v>
      </c>
      <c r="AW798" s="1">
        <f t="shared" si="121"/>
        <v>0</v>
      </c>
      <c r="AX798" s="1">
        <f t="shared" si="122"/>
        <v>0</v>
      </c>
    </row>
    <row r="799" spans="1:50" s="1" customFormat="1" ht="24.95" customHeight="1" outlineLevel="3" x14ac:dyDescent="0.2">
      <c r="A799" s="11"/>
      <c r="B799" s="12">
        <v>890</v>
      </c>
      <c r="C799" s="12">
        <v>990</v>
      </c>
      <c r="D799" s="12">
        <v>22660</v>
      </c>
      <c r="E799" s="13" t="s">
        <v>2385</v>
      </c>
      <c r="F799" s="13" t="s">
        <v>2568</v>
      </c>
      <c r="G799" s="13" t="s">
        <v>86</v>
      </c>
      <c r="H799" s="13" t="s">
        <v>40</v>
      </c>
      <c r="I799" s="12">
        <v>2023</v>
      </c>
      <c r="J799" s="13" t="s">
        <v>2569</v>
      </c>
      <c r="K799" s="12">
        <v>9785001398196</v>
      </c>
      <c r="L799" s="13" t="s">
        <v>2570</v>
      </c>
      <c r="M799" s="12">
        <v>386</v>
      </c>
      <c r="N799" s="14">
        <v>0.7</v>
      </c>
      <c r="O799" s="12">
        <v>180</v>
      </c>
      <c r="P799" s="12">
        <v>240</v>
      </c>
      <c r="Q799" s="12">
        <v>6</v>
      </c>
      <c r="R799" s="13" t="s">
        <v>94</v>
      </c>
      <c r="S799" s="13"/>
      <c r="T799" s="15">
        <v>3000</v>
      </c>
      <c r="U799" s="13" t="s">
        <v>52</v>
      </c>
      <c r="V799" s="13" t="s">
        <v>45</v>
      </c>
      <c r="W799" s="12">
        <v>10</v>
      </c>
      <c r="X799" s="33" t="str">
        <f>HYPERLINK("https://www.alpinabook.ru/catalog/book-ratsionalnost","ссылка на книгу")</f>
        <v>ссылка на книгу</v>
      </c>
      <c r="Y799" s="34" t="str">
        <f>HYPERLINK("https://api-enni.alpina.ru/FilePrivilegesApproval/171","https://api-enni.alpina.ru/FilePrivilegesApproval/171")</f>
        <v>https://api-enni.alpina.ru/FilePrivilegesApproval/171</v>
      </c>
      <c r="Z799" s="13"/>
      <c r="AT799" s="1">
        <f t="shared" si="118"/>
        <v>0</v>
      </c>
      <c r="AU799" s="1">
        <f t="shared" si="119"/>
        <v>0</v>
      </c>
      <c r="AV799" s="1">
        <f t="shared" si="120"/>
        <v>0</v>
      </c>
      <c r="AW799" s="1">
        <f t="shared" si="121"/>
        <v>0</v>
      </c>
      <c r="AX799" s="1">
        <f t="shared" si="122"/>
        <v>0</v>
      </c>
    </row>
    <row r="800" spans="1:50" s="1" customFormat="1" ht="24.95" customHeight="1" outlineLevel="3" x14ac:dyDescent="0.2">
      <c r="A800" s="11"/>
      <c r="B800" s="12">
        <v>490</v>
      </c>
      <c r="C800" s="12">
        <v>740</v>
      </c>
      <c r="D800" s="12">
        <v>30152</v>
      </c>
      <c r="E800" s="13" t="s">
        <v>2571</v>
      </c>
      <c r="F800" s="13" t="s">
        <v>2572</v>
      </c>
      <c r="G800" s="13" t="s">
        <v>56</v>
      </c>
      <c r="H800" s="13" t="s">
        <v>236</v>
      </c>
      <c r="I800" s="12">
        <v>2024</v>
      </c>
      <c r="J800" s="13" t="s">
        <v>2573</v>
      </c>
      <c r="K800" s="12">
        <v>9785961494938</v>
      </c>
      <c r="L800" s="13" t="s">
        <v>2574</v>
      </c>
      <c r="M800" s="12">
        <v>144</v>
      </c>
      <c r="N800" s="14">
        <v>0.27</v>
      </c>
      <c r="O800" s="12">
        <v>130</v>
      </c>
      <c r="P800" s="12">
        <v>210</v>
      </c>
      <c r="Q800" s="12">
        <v>20</v>
      </c>
      <c r="R800" s="13" t="s">
        <v>82</v>
      </c>
      <c r="S800" s="13"/>
      <c r="T800" s="15">
        <v>2500</v>
      </c>
      <c r="U800" s="13" t="s">
        <v>52</v>
      </c>
      <c r="V800" s="13" t="s">
        <v>45</v>
      </c>
      <c r="W800" s="12">
        <v>10</v>
      </c>
      <c r="X800" s="33" t="str">
        <f>HYPERLINK("https://www.alpinabook.ru/catalog/book-sekst-kak-lekarstvo-ot-trevogi","ссылка на книгу")</f>
        <v>ссылка на книгу</v>
      </c>
      <c r="Y800" s="34" t="str">
        <f>HYPERLINK("https://api-enni.alpina.ru/FilePrivilegesApproval/546","https://api-enni.alpina.ru/FilePrivilegesApproval/546")</f>
        <v>https://api-enni.alpina.ru/FilePrivilegesApproval/546</v>
      </c>
      <c r="Z800" s="13"/>
      <c r="AT800" s="1">
        <f t="shared" si="118"/>
        <v>0</v>
      </c>
      <c r="AU800" s="1">
        <f t="shared" si="119"/>
        <v>0</v>
      </c>
      <c r="AV800" s="1">
        <f t="shared" si="120"/>
        <v>0</v>
      </c>
      <c r="AW800" s="1">
        <f t="shared" si="121"/>
        <v>0</v>
      </c>
      <c r="AX800" s="1">
        <f t="shared" si="122"/>
        <v>0</v>
      </c>
    </row>
    <row r="801" spans="1:50" s="1" customFormat="1" ht="24.95" customHeight="1" outlineLevel="3" x14ac:dyDescent="0.2">
      <c r="A801" s="11"/>
      <c r="B801" s="12">
        <v>730</v>
      </c>
      <c r="C801" s="12">
        <v>940</v>
      </c>
      <c r="D801" s="12">
        <v>20867</v>
      </c>
      <c r="E801" s="13" t="s">
        <v>2575</v>
      </c>
      <c r="F801" s="13" t="s">
        <v>2576</v>
      </c>
      <c r="G801" s="13" t="s">
        <v>86</v>
      </c>
      <c r="H801" s="13" t="s">
        <v>40</v>
      </c>
      <c r="I801" s="12">
        <v>2024</v>
      </c>
      <c r="J801" s="13" t="s">
        <v>2577</v>
      </c>
      <c r="K801" s="12">
        <v>9785002232086</v>
      </c>
      <c r="L801" s="13" t="s">
        <v>2578</v>
      </c>
      <c r="M801" s="12">
        <v>214</v>
      </c>
      <c r="N801" s="14">
        <v>0.36</v>
      </c>
      <c r="O801" s="12">
        <v>150</v>
      </c>
      <c r="P801" s="12">
        <v>220</v>
      </c>
      <c r="Q801" s="12">
        <v>14</v>
      </c>
      <c r="R801" s="13" t="s">
        <v>43</v>
      </c>
      <c r="S801" s="13"/>
      <c r="T801" s="15">
        <v>2000</v>
      </c>
      <c r="U801" s="13" t="s">
        <v>52</v>
      </c>
      <c r="V801" s="13" t="s">
        <v>59</v>
      </c>
      <c r="W801" s="12">
        <v>10</v>
      </c>
      <c r="X801" s="33" t="str">
        <f>HYPERLINK("https://www.alpinabook.ru/catalog/book-skelety-v-shkafu","ссылка на книгу")</f>
        <v>ссылка на книгу</v>
      </c>
      <c r="Y801" s="34" t="str">
        <f>HYPERLINK("https://api-enni.alpina.ru/FilePrivilegesApproval/687","https://api-enni.alpina.ru/FilePrivilegesApproval/687")</f>
        <v>https://api-enni.alpina.ru/FilePrivilegesApproval/687</v>
      </c>
      <c r="Z801" s="13"/>
      <c r="AT801" s="1">
        <f t="shared" si="118"/>
        <v>0</v>
      </c>
      <c r="AU801" s="1">
        <f t="shared" si="119"/>
        <v>0</v>
      </c>
      <c r="AV801" s="1">
        <f t="shared" si="120"/>
        <v>0</v>
      </c>
      <c r="AW801" s="1">
        <f t="shared" si="121"/>
        <v>0</v>
      </c>
      <c r="AX801" s="1">
        <f t="shared" si="122"/>
        <v>0</v>
      </c>
    </row>
    <row r="802" spans="1:50" s="1" customFormat="1" ht="24.95" customHeight="1" outlineLevel="3" x14ac:dyDescent="0.2">
      <c r="A802" s="11"/>
      <c r="B802" s="12">
        <v>340</v>
      </c>
      <c r="C802" s="12">
        <v>540</v>
      </c>
      <c r="D802" s="12">
        <v>27356</v>
      </c>
      <c r="E802" s="13" t="s">
        <v>2579</v>
      </c>
      <c r="F802" s="13" t="s">
        <v>2580</v>
      </c>
      <c r="G802" s="13" t="s">
        <v>86</v>
      </c>
      <c r="H802" s="13" t="s">
        <v>40</v>
      </c>
      <c r="I802" s="12">
        <v>2023</v>
      </c>
      <c r="J802" s="13" t="s">
        <v>2581</v>
      </c>
      <c r="K802" s="12">
        <v>9785001399216</v>
      </c>
      <c r="L802" s="13" t="s">
        <v>2582</v>
      </c>
      <c r="M802" s="12">
        <v>336</v>
      </c>
      <c r="N802" s="14">
        <v>0.22</v>
      </c>
      <c r="O802" s="12">
        <v>120</v>
      </c>
      <c r="P802" s="12">
        <v>170</v>
      </c>
      <c r="Q802" s="12">
        <v>20</v>
      </c>
      <c r="R802" s="13" t="s">
        <v>75</v>
      </c>
      <c r="S802" s="13" t="s">
        <v>76</v>
      </c>
      <c r="T802" s="15">
        <v>2000</v>
      </c>
      <c r="U802" s="13" t="s">
        <v>44</v>
      </c>
      <c r="V802" s="13" t="s">
        <v>59</v>
      </c>
      <c r="W802" s="12">
        <v>10</v>
      </c>
      <c r="X802" s="33" t="str">
        <f>HYPERLINK("https://www.alpinabook.ru/catalog/book-schaste-po-aristotelyu","ссылка на книгу")</f>
        <v>ссылка на книгу</v>
      </c>
      <c r="Y802" s="34" t="str">
        <f>HYPERLINK("https://api-enni.alpina.ru/FilePrivilegesApproval/147","https://api-enni.alpina.ru/FilePrivilegesApproval/147")</f>
        <v>https://api-enni.alpina.ru/FilePrivilegesApproval/147</v>
      </c>
      <c r="Z802" s="13"/>
      <c r="AT802" s="1">
        <f t="shared" si="118"/>
        <v>0</v>
      </c>
      <c r="AU802" s="1">
        <f t="shared" si="119"/>
        <v>0</v>
      </c>
      <c r="AV802" s="1">
        <f t="shared" si="120"/>
        <v>0</v>
      </c>
      <c r="AW802" s="1">
        <f t="shared" si="121"/>
        <v>0</v>
      </c>
      <c r="AX802" s="1">
        <f t="shared" si="122"/>
        <v>0</v>
      </c>
    </row>
    <row r="803" spans="1:50" s="1" customFormat="1" ht="24.95" customHeight="1" outlineLevel="3" x14ac:dyDescent="0.2">
      <c r="A803" s="11"/>
      <c r="B803" s="12">
        <v>590</v>
      </c>
      <c r="C803" s="12">
        <v>590</v>
      </c>
      <c r="D803" s="12">
        <v>18896</v>
      </c>
      <c r="E803" s="13" t="s">
        <v>2583</v>
      </c>
      <c r="F803" s="13" t="s">
        <v>2584</v>
      </c>
      <c r="G803" s="13" t="s">
        <v>56</v>
      </c>
      <c r="H803" s="13"/>
      <c r="I803" s="12">
        <v>2020</v>
      </c>
      <c r="J803" s="13" t="s">
        <v>2585</v>
      </c>
      <c r="K803" s="12">
        <v>9785961437973</v>
      </c>
      <c r="L803" s="13" t="s">
        <v>2586</v>
      </c>
      <c r="M803" s="12">
        <v>286</v>
      </c>
      <c r="N803" s="14">
        <v>0.32</v>
      </c>
      <c r="O803" s="12">
        <v>141</v>
      </c>
      <c r="P803" s="12">
        <v>210</v>
      </c>
      <c r="Q803" s="12">
        <v>14</v>
      </c>
      <c r="R803" s="13" t="s">
        <v>43</v>
      </c>
      <c r="S803" s="13"/>
      <c r="T803" s="15">
        <v>3000</v>
      </c>
      <c r="U803" s="13" t="s">
        <v>44</v>
      </c>
      <c r="V803" s="13" t="s">
        <v>89</v>
      </c>
      <c r="W803" s="12">
        <v>10</v>
      </c>
      <c r="X803" s="33" t="str">
        <f>HYPERLINK("https://www.alpinabook.ru/catalog/book-662519","ссылка на книгу")</f>
        <v>ссылка на книгу</v>
      </c>
      <c r="Y803" s="34" t="str">
        <f>HYPERLINK("https://api-enni.alpina.ru/FilePrivilegesApproval/70","https://api-enni.alpina.ru/FilePrivilegesApproval/70")</f>
        <v>https://api-enni.alpina.ru/FilePrivilegesApproval/70</v>
      </c>
      <c r="Z803" s="13"/>
      <c r="AT803" s="1">
        <f t="shared" si="118"/>
        <v>0</v>
      </c>
      <c r="AU803" s="1">
        <f t="shared" si="119"/>
        <v>0</v>
      </c>
      <c r="AV803" s="1">
        <f t="shared" si="120"/>
        <v>0</v>
      </c>
      <c r="AW803" s="1">
        <f t="shared" si="121"/>
        <v>0</v>
      </c>
      <c r="AX803" s="1">
        <f t="shared" si="122"/>
        <v>0</v>
      </c>
    </row>
    <row r="804" spans="1:50" s="1" customFormat="1" ht="24.95" customHeight="1" outlineLevel="3" x14ac:dyDescent="0.2">
      <c r="A804" s="26"/>
      <c r="B804" s="27">
        <v>690</v>
      </c>
      <c r="C804" s="27">
        <v>990</v>
      </c>
      <c r="D804" s="27">
        <v>4413</v>
      </c>
      <c r="E804" s="29" t="s">
        <v>2587</v>
      </c>
      <c r="F804" s="29" t="s">
        <v>2588</v>
      </c>
      <c r="G804" s="29" t="s">
        <v>97</v>
      </c>
      <c r="H804" s="29"/>
      <c r="I804" s="27">
        <v>2023</v>
      </c>
      <c r="J804" s="29" t="s">
        <v>2589</v>
      </c>
      <c r="K804" s="27">
        <v>9785990722378</v>
      </c>
      <c r="L804" s="29" t="s">
        <v>2590</v>
      </c>
      <c r="M804" s="27">
        <v>150</v>
      </c>
      <c r="N804" s="30">
        <v>0.25</v>
      </c>
      <c r="O804" s="27">
        <v>133</v>
      </c>
      <c r="P804" s="27">
        <v>206</v>
      </c>
      <c r="Q804" s="27">
        <v>10</v>
      </c>
      <c r="R804" s="29" t="s">
        <v>82</v>
      </c>
      <c r="S804" s="29"/>
      <c r="T804" s="28">
        <v>1000</v>
      </c>
      <c r="U804" s="29" t="s">
        <v>52</v>
      </c>
      <c r="V804" s="29" t="s">
        <v>64</v>
      </c>
      <c r="W804" s="27">
        <v>10</v>
      </c>
      <c r="X804" s="37" t="str">
        <f>HYPERLINK("https://www.alpinabook.ru/catalog/book-talisman-pobeditelya","ссылка на книгу")</f>
        <v>ссылка на книгу</v>
      </c>
      <c r="Y804" s="38" t="str">
        <f>HYPERLINK("https://api-enni.alpina.ru/FilePrivilegesApproval/114","https://api-enni.alpina.ru/FilePrivilegesApproval/114")</f>
        <v>https://api-enni.alpina.ru/FilePrivilegesApproval/114</v>
      </c>
      <c r="Z804" s="29"/>
      <c r="AT804" s="1">
        <f t="shared" si="118"/>
        <v>0</v>
      </c>
      <c r="AU804" s="1">
        <f t="shared" si="119"/>
        <v>0</v>
      </c>
      <c r="AV804" s="1">
        <f t="shared" si="120"/>
        <v>0</v>
      </c>
      <c r="AW804" s="1">
        <f t="shared" si="121"/>
        <v>0</v>
      </c>
      <c r="AX804" s="1">
        <f t="shared" si="122"/>
        <v>0</v>
      </c>
    </row>
    <row r="805" spans="1:50" s="1" customFormat="1" ht="24.95" customHeight="1" outlineLevel="3" x14ac:dyDescent="0.2">
      <c r="A805" s="11"/>
      <c r="B805" s="12">
        <v>690</v>
      </c>
      <c r="C805" s="12">
        <v>690</v>
      </c>
      <c r="D805" s="12">
        <v>18875</v>
      </c>
      <c r="E805" s="13" t="s">
        <v>2591</v>
      </c>
      <c r="F805" s="13" t="s">
        <v>2592</v>
      </c>
      <c r="G805" s="13" t="s">
        <v>86</v>
      </c>
      <c r="H805" s="13" t="s">
        <v>40</v>
      </c>
      <c r="I805" s="12">
        <v>2022</v>
      </c>
      <c r="J805" s="13" t="s">
        <v>2593</v>
      </c>
      <c r="K805" s="12">
        <v>9785001394549</v>
      </c>
      <c r="L805" s="13" t="s">
        <v>2594</v>
      </c>
      <c r="M805" s="12">
        <v>384</v>
      </c>
      <c r="N805" s="14">
        <v>0.56000000000000005</v>
      </c>
      <c r="O805" s="12">
        <v>146</v>
      </c>
      <c r="P805" s="12">
        <v>216</v>
      </c>
      <c r="Q805" s="12">
        <v>10</v>
      </c>
      <c r="R805" s="13" t="s">
        <v>43</v>
      </c>
      <c r="S805" s="13"/>
      <c r="T805" s="15">
        <v>3000</v>
      </c>
      <c r="U805" s="13" t="s">
        <v>52</v>
      </c>
      <c r="V805" s="13" t="s">
        <v>64</v>
      </c>
      <c r="W805" s="12">
        <v>10</v>
      </c>
      <c r="X805" s="33" t="str">
        <f>HYPERLINK("https://www.alpinabook.ru/catalog/book-filosofskiy-ekspress","ссылка на книгу")</f>
        <v>ссылка на книгу</v>
      </c>
      <c r="Y805" s="34" t="str">
        <f>HYPERLINK("https://api-enni.alpina.ru/FilePrivilegesApproval/149","https://api-enni.alpina.ru/FilePrivilegesApproval/149")</f>
        <v>https://api-enni.alpina.ru/FilePrivilegesApproval/149</v>
      </c>
      <c r="Z805" s="13"/>
      <c r="AT805" s="1">
        <f t="shared" si="118"/>
        <v>0</v>
      </c>
      <c r="AU805" s="1">
        <f t="shared" si="119"/>
        <v>0</v>
      </c>
      <c r="AV805" s="1">
        <f t="shared" si="120"/>
        <v>0</v>
      </c>
      <c r="AW805" s="1">
        <f t="shared" si="121"/>
        <v>0</v>
      </c>
      <c r="AX805" s="1">
        <f t="shared" si="122"/>
        <v>0</v>
      </c>
    </row>
    <row r="806" spans="1:50" s="1" customFormat="1" ht="24.95" customHeight="1" outlineLevel="3" x14ac:dyDescent="0.2">
      <c r="A806" s="11"/>
      <c r="B806" s="12">
        <v>390</v>
      </c>
      <c r="C806" s="12">
        <v>640</v>
      </c>
      <c r="D806" s="12">
        <v>27357</v>
      </c>
      <c r="E806" s="13" t="s">
        <v>2595</v>
      </c>
      <c r="F806" s="13" t="s">
        <v>2596</v>
      </c>
      <c r="G806" s="13" t="s">
        <v>86</v>
      </c>
      <c r="H806" s="13" t="s">
        <v>40</v>
      </c>
      <c r="I806" s="12">
        <v>2025</v>
      </c>
      <c r="J806" s="13" t="s">
        <v>2597</v>
      </c>
      <c r="K806" s="12">
        <v>9785001399223</v>
      </c>
      <c r="L806" s="13" t="s">
        <v>2598</v>
      </c>
      <c r="M806" s="12">
        <v>592</v>
      </c>
      <c r="N806" s="14">
        <v>0.36</v>
      </c>
      <c r="O806" s="12">
        <v>120</v>
      </c>
      <c r="P806" s="12">
        <v>170</v>
      </c>
      <c r="Q806" s="12">
        <v>6</v>
      </c>
      <c r="R806" s="13" t="s">
        <v>75</v>
      </c>
      <c r="S806" s="13" t="s">
        <v>596</v>
      </c>
      <c r="T806" s="15">
        <v>4000</v>
      </c>
      <c r="U806" s="13" t="s">
        <v>44</v>
      </c>
      <c r="V806" s="13" t="s">
        <v>89</v>
      </c>
      <c r="W806" s="12">
        <v>10</v>
      </c>
      <c r="X806" s="33" t="str">
        <f>HYPERLINK("https://www.alpinabook.ru/catalog/book-khoroshie-plokhie","ссылка на книгу")</f>
        <v>ссылка на книгу</v>
      </c>
      <c r="Y806" s="34" t="str">
        <f>HYPERLINK("https://api-enni.alpina.ru/FilePrivilegesApproval/151","https://api-enni.alpina.ru/FilePrivilegesApproval/151")</f>
        <v>https://api-enni.alpina.ru/FilePrivilegesApproval/151</v>
      </c>
      <c r="Z806" s="13" t="s">
        <v>392</v>
      </c>
      <c r="AT806" s="1">
        <f t="shared" si="118"/>
        <v>0</v>
      </c>
      <c r="AU806" s="1">
        <f t="shared" si="119"/>
        <v>0</v>
      </c>
      <c r="AV806" s="1">
        <f t="shared" si="120"/>
        <v>0</v>
      </c>
      <c r="AW806" s="1">
        <f t="shared" si="121"/>
        <v>0</v>
      </c>
      <c r="AX806" s="1">
        <f t="shared" si="122"/>
        <v>0</v>
      </c>
    </row>
    <row r="807" spans="1:50" s="1" customFormat="1" ht="24.95" customHeight="1" outlineLevel="3" x14ac:dyDescent="0.2">
      <c r="A807" s="11"/>
      <c r="B807" s="12">
        <v>990</v>
      </c>
      <c r="C807" s="15">
        <v>1490</v>
      </c>
      <c r="D807" s="12">
        <v>26402</v>
      </c>
      <c r="E807" s="13" t="s">
        <v>823</v>
      </c>
      <c r="F807" s="13" t="s">
        <v>2599</v>
      </c>
      <c r="G807" s="13" t="s">
        <v>86</v>
      </c>
      <c r="H807" s="13" t="s">
        <v>40</v>
      </c>
      <c r="I807" s="12">
        <v>2022</v>
      </c>
      <c r="J807" s="13" t="s">
        <v>2600</v>
      </c>
      <c r="K807" s="12">
        <v>9785001397632</v>
      </c>
      <c r="L807" s="13" t="s">
        <v>2601</v>
      </c>
      <c r="M807" s="12">
        <v>768</v>
      </c>
      <c r="N807" s="14">
        <v>0.75</v>
      </c>
      <c r="O807" s="12">
        <v>140</v>
      </c>
      <c r="P807" s="12">
        <v>210</v>
      </c>
      <c r="Q807" s="12">
        <v>8</v>
      </c>
      <c r="R807" s="13" t="s">
        <v>43</v>
      </c>
      <c r="S807" s="13"/>
      <c r="T807" s="15">
        <v>2000</v>
      </c>
      <c r="U807" s="13" t="s">
        <v>44</v>
      </c>
      <c r="V807" s="13" t="s">
        <v>45</v>
      </c>
      <c r="W807" s="12">
        <v>10</v>
      </c>
      <c r="X807" s="33" t="str">
        <f>HYPERLINK("https://www.alpinabook.ru/catalog/book-effekt-lyutsifera","ссылка на книгу")</f>
        <v>ссылка на книгу</v>
      </c>
      <c r="Y807" s="34" t="str">
        <f>HYPERLINK("https://api-enni.alpina.ru/FilePrivilegesApproval/217","https://api-enni.alpina.ru/FilePrivilegesApproval/217")</f>
        <v>https://api-enni.alpina.ru/FilePrivilegesApproval/217</v>
      </c>
      <c r="Z807" s="13" t="s">
        <v>1342</v>
      </c>
      <c r="AT807" s="1">
        <f t="shared" si="118"/>
        <v>0</v>
      </c>
      <c r="AU807" s="1">
        <f t="shared" si="119"/>
        <v>0</v>
      </c>
      <c r="AV807" s="1">
        <f t="shared" si="120"/>
        <v>0</v>
      </c>
      <c r="AW807" s="1">
        <f t="shared" si="121"/>
        <v>0</v>
      </c>
      <c r="AX807" s="1">
        <f t="shared" si="122"/>
        <v>0</v>
      </c>
    </row>
    <row r="808" spans="1:50" s="1" customFormat="1" ht="24.95" customHeight="1" outlineLevel="3" x14ac:dyDescent="0.2">
      <c r="A808" s="11"/>
      <c r="B808" s="12">
        <v>590</v>
      </c>
      <c r="C808" s="12">
        <v>840</v>
      </c>
      <c r="D808" s="12">
        <v>20568</v>
      </c>
      <c r="E808" s="13" t="s">
        <v>831</v>
      </c>
      <c r="F808" s="13" t="s">
        <v>832</v>
      </c>
      <c r="G808" s="13" t="s">
        <v>56</v>
      </c>
      <c r="H808" s="13" t="s">
        <v>40</v>
      </c>
      <c r="I808" s="12">
        <v>2025</v>
      </c>
      <c r="J808" s="13" t="s">
        <v>833</v>
      </c>
      <c r="K808" s="12">
        <v>9785961440423</v>
      </c>
      <c r="L808" s="13" t="s">
        <v>834</v>
      </c>
      <c r="M808" s="12">
        <v>336</v>
      </c>
      <c r="N808" s="14">
        <v>0.49</v>
      </c>
      <c r="O808" s="12">
        <v>150</v>
      </c>
      <c r="P808" s="12">
        <v>220</v>
      </c>
      <c r="Q808" s="12">
        <v>5</v>
      </c>
      <c r="R808" s="13" t="s">
        <v>43</v>
      </c>
      <c r="S808" s="13"/>
      <c r="T808" s="15">
        <v>1000</v>
      </c>
      <c r="U808" s="13" t="s">
        <v>52</v>
      </c>
      <c r="V808" s="13" t="s">
        <v>45</v>
      </c>
      <c r="W808" s="12">
        <v>10</v>
      </c>
      <c r="X808" s="33" t="str">
        <f>HYPERLINK("https://www.alpinabook.ru/catalog/book-ya-ne-ya","ссылка на книгу")</f>
        <v>ссылка на книгу</v>
      </c>
      <c r="Y808" s="34" t="str">
        <f>HYPERLINK("https://api-enni.alpina.ru/FilePrivilegesApproval/124","https://api-enni.alpina.ru/FilePrivilegesApproval/124")</f>
        <v>https://api-enni.alpina.ru/FilePrivilegesApproval/124</v>
      </c>
      <c r="Z808" s="13" t="s">
        <v>387</v>
      </c>
      <c r="AT808" s="1">
        <f t="shared" si="118"/>
        <v>0</v>
      </c>
      <c r="AU808" s="1">
        <f t="shared" si="119"/>
        <v>0</v>
      </c>
      <c r="AV808" s="1">
        <f t="shared" si="120"/>
        <v>0</v>
      </c>
      <c r="AW808" s="1">
        <f t="shared" si="121"/>
        <v>0</v>
      </c>
      <c r="AX808" s="1">
        <f t="shared" si="122"/>
        <v>0</v>
      </c>
    </row>
    <row r="809" spans="1:50" ht="11.1" customHeight="1" outlineLevel="2" x14ac:dyDescent="0.2">
      <c r="A809" s="40" t="s">
        <v>2602</v>
      </c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20"/>
    </row>
    <row r="810" spans="1:50" s="1" customFormat="1" ht="24.95" customHeight="1" outlineLevel="3" x14ac:dyDescent="0.2">
      <c r="A810" s="11"/>
      <c r="B810" s="12">
        <v>610</v>
      </c>
      <c r="C810" s="12">
        <v>890</v>
      </c>
      <c r="D810" s="12">
        <v>7358</v>
      </c>
      <c r="E810" s="13" t="s">
        <v>2603</v>
      </c>
      <c r="F810" s="13" t="s">
        <v>2604</v>
      </c>
      <c r="G810" s="13" t="s">
        <v>86</v>
      </c>
      <c r="H810" s="13"/>
      <c r="I810" s="12">
        <v>2021</v>
      </c>
      <c r="J810" s="13" t="s">
        <v>2605</v>
      </c>
      <c r="K810" s="12">
        <v>9785916717358</v>
      </c>
      <c r="L810" s="13" t="s">
        <v>2606</v>
      </c>
      <c r="M810" s="12">
        <v>622</v>
      </c>
      <c r="N810" s="14">
        <v>0.7</v>
      </c>
      <c r="O810" s="12">
        <v>146</v>
      </c>
      <c r="P810" s="12">
        <v>216</v>
      </c>
      <c r="Q810" s="12">
        <v>8</v>
      </c>
      <c r="R810" s="13" t="s">
        <v>43</v>
      </c>
      <c r="S810" s="13"/>
      <c r="T810" s="15">
        <v>1500</v>
      </c>
      <c r="U810" s="13" t="s">
        <v>52</v>
      </c>
      <c r="V810" s="13" t="s">
        <v>64</v>
      </c>
      <c r="W810" s="12">
        <v>10</v>
      </c>
      <c r="X810" s="33" t="str">
        <f>HYPERLINK("https://www.alpinabook.ru/catalog/book-348341","ссылка на книгу")</f>
        <v>ссылка на книгу</v>
      </c>
      <c r="Y810" s="34" t="str">
        <f>HYPERLINK("https://api-enni.alpina.ru/FilePrivilegesApproval/258","https://api-enni.alpina.ru/FilePrivilegesApproval/258")</f>
        <v>https://api-enni.alpina.ru/FilePrivilegesApproval/258</v>
      </c>
      <c r="Z810" s="13"/>
      <c r="AT810" s="1">
        <f t="shared" ref="AT810:AT827" si="123">IF($A810&lt;&gt;0,1,0)</f>
        <v>0</v>
      </c>
      <c r="AU810" s="1">
        <f t="shared" ref="AU810:AU827" si="124">$A810*$B810</f>
        <v>0</v>
      </c>
      <c r="AV810" s="1">
        <f t="shared" ref="AV810:AV827" si="125">$A810*$N810</f>
        <v>0</v>
      </c>
      <c r="AW810" s="1">
        <f t="shared" ref="AW810:AW827" si="126">IF($Q810=0,0,INT($A810/$Q810))</f>
        <v>0</v>
      </c>
      <c r="AX810" s="1">
        <f t="shared" ref="AX810:AX827" si="127">$A810-$AW810*$Q810</f>
        <v>0</v>
      </c>
    </row>
    <row r="811" spans="1:50" s="1" customFormat="1" ht="24.95" customHeight="1" outlineLevel="3" x14ac:dyDescent="0.2">
      <c r="A811" s="11"/>
      <c r="B811" s="15">
        <v>1340</v>
      </c>
      <c r="C811" s="15">
        <v>1790</v>
      </c>
      <c r="D811" s="12">
        <v>17341</v>
      </c>
      <c r="E811" s="13" t="s">
        <v>2389</v>
      </c>
      <c r="F811" s="13" t="s">
        <v>2607</v>
      </c>
      <c r="G811" s="13" t="s">
        <v>86</v>
      </c>
      <c r="H811" s="13" t="s">
        <v>40</v>
      </c>
      <c r="I811" s="12">
        <v>2025</v>
      </c>
      <c r="J811" s="13" t="s">
        <v>2608</v>
      </c>
      <c r="K811" s="12">
        <v>9785001394228</v>
      </c>
      <c r="L811" s="13" t="s">
        <v>2609</v>
      </c>
      <c r="M811" s="12">
        <v>372</v>
      </c>
      <c r="N811" s="14">
        <v>0.76</v>
      </c>
      <c r="O811" s="12">
        <v>190</v>
      </c>
      <c r="P811" s="12">
        <v>240</v>
      </c>
      <c r="Q811" s="12">
        <v>4</v>
      </c>
      <c r="R811" s="13" t="s">
        <v>94</v>
      </c>
      <c r="S811" s="13"/>
      <c r="T811" s="15">
        <v>2000</v>
      </c>
      <c r="U811" s="13" t="s">
        <v>52</v>
      </c>
      <c r="V811" s="13" t="s">
        <v>59</v>
      </c>
      <c r="W811" s="12">
        <v>10</v>
      </c>
      <c r="X811" s="33" t="str">
        <f>HYPERLINK("https://www.alpinabook.ru/catalog/book-vremya-peremennykh","ссылка на книгу")</f>
        <v>ссылка на книгу</v>
      </c>
      <c r="Y811" s="34" t="str">
        <f>HYPERLINK("https://api-enni.alpina.ru/FilePrivilegesApproval/149","https://api-enni.alpina.ru/FilePrivilegesApproval/149")</f>
        <v>https://api-enni.alpina.ru/FilePrivilegesApproval/149</v>
      </c>
      <c r="Z811" s="13"/>
      <c r="AT811" s="1">
        <f t="shared" si="123"/>
        <v>0</v>
      </c>
      <c r="AU811" s="1">
        <f t="shared" si="124"/>
        <v>0</v>
      </c>
      <c r="AV811" s="1">
        <f t="shared" si="125"/>
        <v>0</v>
      </c>
      <c r="AW811" s="1">
        <f t="shared" si="126"/>
        <v>0</v>
      </c>
      <c r="AX811" s="1">
        <f t="shared" si="127"/>
        <v>0</v>
      </c>
    </row>
    <row r="812" spans="1:50" s="1" customFormat="1" ht="24.95" customHeight="1" outlineLevel="3" x14ac:dyDescent="0.2">
      <c r="A812" s="11"/>
      <c r="B812" s="12">
        <v>340</v>
      </c>
      <c r="C812" s="12">
        <v>540</v>
      </c>
      <c r="D812" s="12">
        <v>30260</v>
      </c>
      <c r="E812" s="13" t="s">
        <v>2610</v>
      </c>
      <c r="F812" s="13" t="s">
        <v>2611</v>
      </c>
      <c r="G812" s="13" t="s">
        <v>86</v>
      </c>
      <c r="H812" s="13" t="s">
        <v>40</v>
      </c>
      <c r="I812" s="12">
        <v>2022</v>
      </c>
      <c r="J812" s="13" t="s">
        <v>2612</v>
      </c>
      <c r="K812" s="12">
        <v>9785002232369</v>
      </c>
      <c r="L812" s="13" t="s">
        <v>2613</v>
      </c>
      <c r="M812" s="12">
        <v>256</v>
      </c>
      <c r="N812" s="14">
        <v>0.17</v>
      </c>
      <c r="O812" s="12">
        <v>120</v>
      </c>
      <c r="P812" s="12">
        <v>170</v>
      </c>
      <c r="Q812" s="12">
        <v>20</v>
      </c>
      <c r="R812" s="13" t="s">
        <v>75</v>
      </c>
      <c r="S812" s="13" t="s">
        <v>596</v>
      </c>
      <c r="T812" s="15">
        <v>2000</v>
      </c>
      <c r="U812" s="13" t="s">
        <v>44</v>
      </c>
      <c r="V812" s="13" t="s">
        <v>59</v>
      </c>
      <c r="W812" s="12">
        <v>10</v>
      </c>
      <c r="X812" s="33" t="str">
        <f>HYPERLINK("https://www.alpinabook.ru/catalog/book-vsego-shest-chisel","ссылка на книгу")</f>
        <v>ссылка на книгу</v>
      </c>
      <c r="Y812" s="34" t="str">
        <f>HYPERLINK("https://api-enni.alpina.ru/FilePrivilegesApproval/569","https://api-enni.alpina.ru/FilePrivilegesApproval/569")</f>
        <v>https://api-enni.alpina.ru/FilePrivilegesApproval/569</v>
      </c>
      <c r="Z812" s="13"/>
      <c r="AT812" s="1">
        <f t="shared" si="123"/>
        <v>0</v>
      </c>
      <c r="AU812" s="1">
        <f t="shared" si="124"/>
        <v>0</v>
      </c>
      <c r="AV812" s="1">
        <f t="shared" si="125"/>
        <v>0</v>
      </c>
      <c r="AW812" s="1">
        <f t="shared" si="126"/>
        <v>0</v>
      </c>
      <c r="AX812" s="1">
        <f t="shared" si="127"/>
        <v>0</v>
      </c>
    </row>
    <row r="813" spans="1:50" s="1" customFormat="1" ht="24.95" customHeight="1" outlineLevel="3" x14ac:dyDescent="0.2">
      <c r="A813" s="11"/>
      <c r="B813" s="12">
        <v>690</v>
      </c>
      <c r="C813" s="12">
        <v>790</v>
      </c>
      <c r="D813" s="12">
        <v>18163</v>
      </c>
      <c r="E813" s="13" t="s">
        <v>2614</v>
      </c>
      <c r="F813" s="13" t="s">
        <v>2615</v>
      </c>
      <c r="G813" s="13" t="s">
        <v>86</v>
      </c>
      <c r="H813" s="13" t="s">
        <v>40</v>
      </c>
      <c r="I813" s="12">
        <v>2022</v>
      </c>
      <c r="J813" s="13" t="s">
        <v>2616</v>
      </c>
      <c r="K813" s="12">
        <v>9785001393054</v>
      </c>
      <c r="L813" s="13" t="s">
        <v>2617</v>
      </c>
      <c r="M813" s="12">
        <v>336</v>
      </c>
      <c r="N813" s="14">
        <v>0.51</v>
      </c>
      <c r="O813" s="12">
        <v>146</v>
      </c>
      <c r="P813" s="12">
        <v>216</v>
      </c>
      <c r="Q813" s="12">
        <v>12</v>
      </c>
      <c r="R813" s="13" t="s">
        <v>43</v>
      </c>
      <c r="S813" s="13" t="s">
        <v>2618</v>
      </c>
      <c r="T813" s="15">
        <v>3000</v>
      </c>
      <c r="U813" s="13" t="s">
        <v>52</v>
      </c>
      <c r="V813" s="13" t="s">
        <v>59</v>
      </c>
      <c r="W813" s="12">
        <v>10</v>
      </c>
      <c r="X813" s="33" t="str">
        <f>HYPERLINK("https://www.alpinabook.ru/catalog/book-galiley-i-otritsateli-nauki","ссылка на книгу")</f>
        <v>ссылка на книгу</v>
      </c>
      <c r="Y813" s="34" t="str">
        <f>HYPERLINK("https://api-enni.alpina.ru/FilePrivilegesApproval/127","https://api-enni.alpina.ru/FilePrivilegesApproval/127")</f>
        <v>https://api-enni.alpina.ru/FilePrivilegesApproval/127</v>
      </c>
      <c r="Z813" s="13"/>
      <c r="AT813" s="1">
        <f t="shared" si="123"/>
        <v>0</v>
      </c>
      <c r="AU813" s="1">
        <f t="shared" si="124"/>
        <v>0</v>
      </c>
      <c r="AV813" s="1">
        <f t="shared" si="125"/>
        <v>0</v>
      </c>
      <c r="AW813" s="1">
        <f t="shared" si="126"/>
        <v>0</v>
      </c>
      <c r="AX813" s="1">
        <f t="shared" si="127"/>
        <v>0</v>
      </c>
    </row>
    <row r="814" spans="1:50" s="1" customFormat="1" ht="24.95" customHeight="1" outlineLevel="3" x14ac:dyDescent="0.2">
      <c r="A814" s="26"/>
      <c r="B814" s="27">
        <v>690</v>
      </c>
      <c r="C814" s="27">
        <v>990</v>
      </c>
      <c r="D814" s="27">
        <v>17378</v>
      </c>
      <c r="E814" s="29" t="s">
        <v>2619</v>
      </c>
      <c r="F814" s="29" t="s">
        <v>2620</v>
      </c>
      <c r="G814" s="29" t="s">
        <v>86</v>
      </c>
      <c r="H814" s="29" t="s">
        <v>40</v>
      </c>
      <c r="I814" s="27">
        <v>2020</v>
      </c>
      <c r="J814" s="29" t="s">
        <v>2621</v>
      </c>
      <c r="K814" s="27">
        <v>9785001392651</v>
      </c>
      <c r="L814" s="29" t="s">
        <v>2622</v>
      </c>
      <c r="M814" s="27">
        <v>386</v>
      </c>
      <c r="N814" s="30">
        <v>0.56000000000000005</v>
      </c>
      <c r="O814" s="27">
        <v>146</v>
      </c>
      <c r="P814" s="27">
        <v>216</v>
      </c>
      <c r="Q814" s="27">
        <v>10</v>
      </c>
      <c r="R814" s="29" t="s">
        <v>43</v>
      </c>
      <c r="S814" s="29"/>
      <c r="T814" s="28">
        <v>3000</v>
      </c>
      <c r="U814" s="29" t="s">
        <v>52</v>
      </c>
      <c r="V814" s="29" t="s">
        <v>59</v>
      </c>
      <c r="W814" s="27">
        <v>10</v>
      </c>
      <c r="X814" s="37" t="str">
        <f>HYPERLINK("https://www.alpinabook.ru/catalog/book-668426","ссылка на книгу")</f>
        <v>ссылка на книгу</v>
      </c>
      <c r="Y814" s="38" t="str">
        <f>HYPERLINK("https://api-enni.alpina.ru/FilePrivilegesApproval/259","https://api-enni.alpina.ru/FilePrivilegesApproval/259")</f>
        <v>https://api-enni.alpina.ru/FilePrivilegesApproval/259</v>
      </c>
      <c r="Z814" s="29"/>
      <c r="AT814" s="1">
        <f t="shared" si="123"/>
        <v>0</v>
      </c>
      <c r="AU814" s="1">
        <f t="shared" si="124"/>
        <v>0</v>
      </c>
      <c r="AV814" s="1">
        <f t="shared" si="125"/>
        <v>0</v>
      </c>
      <c r="AW814" s="1">
        <f t="shared" si="126"/>
        <v>0</v>
      </c>
      <c r="AX814" s="1">
        <f t="shared" si="127"/>
        <v>0</v>
      </c>
    </row>
    <row r="815" spans="1:50" s="1" customFormat="1" ht="24.95" customHeight="1" outlineLevel="3" x14ac:dyDescent="0.2">
      <c r="A815" s="26"/>
      <c r="B815" s="27">
        <v>690</v>
      </c>
      <c r="C815" s="27">
        <v>990</v>
      </c>
      <c r="D815" s="27">
        <v>11161</v>
      </c>
      <c r="E815" s="29" t="s">
        <v>2213</v>
      </c>
      <c r="F815" s="29" t="s">
        <v>2623</v>
      </c>
      <c r="G815" s="29" t="s">
        <v>86</v>
      </c>
      <c r="H815" s="29"/>
      <c r="I815" s="27">
        <v>2021</v>
      </c>
      <c r="J815" s="29" t="s">
        <v>2624</v>
      </c>
      <c r="K815" s="27">
        <v>9785001395317</v>
      </c>
      <c r="L815" s="29" t="s">
        <v>2625</v>
      </c>
      <c r="M815" s="27">
        <v>320</v>
      </c>
      <c r="N815" s="30">
        <v>0.47</v>
      </c>
      <c r="O815" s="27">
        <v>146</v>
      </c>
      <c r="P815" s="27">
        <v>216</v>
      </c>
      <c r="Q815" s="27">
        <v>14</v>
      </c>
      <c r="R815" s="29" t="s">
        <v>43</v>
      </c>
      <c r="S815" s="29" t="s">
        <v>2626</v>
      </c>
      <c r="T815" s="28">
        <v>2500</v>
      </c>
      <c r="U815" s="29" t="s">
        <v>52</v>
      </c>
      <c r="V815" s="29" t="s">
        <v>59</v>
      </c>
      <c r="W815" s="27">
        <v>10</v>
      </c>
      <c r="X815" s="37" t="str">
        <f>HYPERLINK("https://www.alpinabook.ru/catalog/book-kak-lomayutsya-spagetti-i-drugie-zadachi-po-fizike","ссылка на книгу")</f>
        <v>ссылка на книгу</v>
      </c>
      <c r="Y815" s="38" t="str">
        <f>HYPERLINK("https://api-enni.alpina.ru/FilePrivilegesApproval/149","https://api-enni.alpina.ru/FilePrivilegesApproval/149")</f>
        <v>https://api-enni.alpina.ru/FilePrivilegesApproval/149</v>
      </c>
      <c r="Z815" s="29"/>
      <c r="AT815" s="1">
        <f t="shared" si="123"/>
        <v>0</v>
      </c>
      <c r="AU815" s="1">
        <f t="shared" si="124"/>
        <v>0</v>
      </c>
      <c r="AV815" s="1">
        <f t="shared" si="125"/>
        <v>0</v>
      </c>
      <c r="AW815" s="1">
        <f t="shared" si="126"/>
        <v>0</v>
      </c>
      <c r="AX815" s="1">
        <f t="shared" si="127"/>
        <v>0</v>
      </c>
    </row>
    <row r="816" spans="1:50" s="1" customFormat="1" ht="24.95" customHeight="1" outlineLevel="3" x14ac:dyDescent="0.2">
      <c r="A816" s="11"/>
      <c r="B816" s="12">
        <v>310</v>
      </c>
      <c r="C816" s="12">
        <v>540</v>
      </c>
      <c r="D816" s="12">
        <v>30901</v>
      </c>
      <c r="E816" s="13" t="s">
        <v>2627</v>
      </c>
      <c r="F816" s="13" t="s">
        <v>2628</v>
      </c>
      <c r="G816" s="13" t="s">
        <v>86</v>
      </c>
      <c r="H816" s="13" t="s">
        <v>40</v>
      </c>
      <c r="I816" s="12">
        <v>2024</v>
      </c>
      <c r="J816" s="13" t="s">
        <v>2629</v>
      </c>
      <c r="K816" s="12">
        <v>9785002233045</v>
      </c>
      <c r="L816" s="13" t="s">
        <v>2630</v>
      </c>
      <c r="M816" s="12">
        <v>224</v>
      </c>
      <c r="N816" s="14">
        <v>0.15</v>
      </c>
      <c r="O816" s="12">
        <v>120</v>
      </c>
      <c r="P816" s="12">
        <v>170</v>
      </c>
      <c r="Q816" s="12">
        <v>12</v>
      </c>
      <c r="R816" s="13" t="s">
        <v>75</v>
      </c>
      <c r="S816" s="13" t="s">
        <v>596</v>
      </c>
      <c r="T816" s="15">
        <v>2000</v>
      </c>
      <c r="U816" s="13" t="s">
        <v>44</v>
      </c>
      <c r="V816" s="13" t="s">
        <v>59</v>
      </c>
      <c r="W816" s="12">
        <v>10</v>
      </c>
      <c r="X816" s="33" t="str">
        <f>HYPERLINK("https://www.alpinabook.ru/catalog/book-kvantovaya-sluchaynost","ссылка на книгу")</f>
        <v>ссылка на книгу</v>
      </c>
      <c r="Y816" s="34" t="str">
        <f>HYPERLINK("https://api-enni.alpina.ru/FilePrivilegesApproval/131","https://api-enni.alpina.ru/FilePrivilegesApproval/131")</f>
        <v>https://api-enni.alpina.ru/FilePrivilegesApproval/131</v>
      </c>
      <c r="Z816" s="13"/>
      <c r="AT816" s="1">
        <f t="shared" si="123"/>
        <v>0</v>
      </c>
      <c r="AU816" s="1">
        <f t="shared" si="124"/>
        <v>0</v>
      </c>
      <c r="AV816" s="1">
        <f t="shared" si="125"/>
        <v>0</v>
      </c>
      <c r="AW816" s="1">
        <f t="shared" si="126"/>
        <v>0</v>
      </c>
      <c r="AX816" s="1">
        <f t="shared" si="127"/>
        <v>0</v>
      </c>
    </row>
    <row r="817" spans="1:50" s="1" customFormat="1" ht="24.95" customHeight="1" outlineLevel="3" x14ac:dyDescent="0.2">
      <c r="A817" s="26"/>
      <c r="B817" s="27">
        <v>640</v>
      </c>
      <c r="C817" s="27">
        <v>990</v>
      </c>
      <c r="D817" s="27">
        <v>12009</v>
      </c>
      <c r="E817" s="29" t="s">
        <v>2631</v>
      </c>
      <c r="F817" s="29" t="s">
        <v>2632</v>
      </c>
      <c r="G817" s="29" t="s">
        <v>86</v>
      </c>
      <c r="H817" s="29" t="s">
        <v>40</v>
      </c>
      <c r="I817" s="27">
        <v>2020</v>
      </c>
      <c r="J817" s="29" t="s">
        <v>2633</v>
      </c>
      <c r="K817" s="27">
        <v>9785001392064</v>
      </c>
      <c r="L817" s="29" t="s">
        <v>2634</v>
      </c>
      <c r="M817" s="27">
        <v>408</v>
      </c>
      <c r="N817" s="30">
        <v>0.6</v>
      </c>
      <c r="O817" s="27">
        <v>146</v>
      </c>
      <c r="P817" s="27">
        <v>216</v>
      </c>
      <c r="Q817" s="27">
        <v>12</v>
      </c>
      <c r="R817" s="29" t="s">
        <v>43</v>
      </c>
      <c r="S817" s="29"/>
      <c r="T817" s="28">
        <v>2000</v>
      </c>
      <c r="U817" s="29" t="s">
        <v>52</v>
      </c>
      <c r="V817" s="29" t="s">
        <v>59</v>
      </c>
      <c r="W817" s="27">
        <v>10</v>
      </c>
      <c r="X817" s="37" t="str">
        <f>HYPERLINK("https://www.alpinabook.ru/catalog/book-638135","ссылка на книгу")</f>
        <v>ссылка на книгу</v>
      </c>
      <c r="Y817" s="38" t="str">
        <f>HYPERLINK("https://api-enni.alpina.ru/FilePrivilegesApproval/263","https://api-enni.alpina.ru/FilePrivilegesApproval/263")</f>
        <v>https://api-enni.alpina.ru/FilePrivilegesApproval/263</v>
      </c>
      <c r="Z817" s="29"/>
      <c r="AT817" s="1">
        <f t="shared" si="123"/>
        <v>0</v>
      </c>
      <c r="AU817" s="1">
        <f t="shared" si="124"/>
        <v>0</v>
      </c>
      <c r="AV817" s="1">
        <f t="shared" si="125"/>
        <v>0</v>
      </c>
      <c r="AW817" s="1">
        <f t="shared" si="126"/>
        <v>0</v>
      </c>
      <c r="AX817" s="1">
        <f t="shared" si="127"/>
        <v>0</v>
      </c>
    </row>
    <row r="818" spans="1:50" s="1" customFormat="1" ht="24.95" customHeight="1" outlineLevel="3" x14ac:dyDescent="0.2">
      <c r="A818" s="11"/>
      <c r="B818" s="15">
        <v>1090</v>
      </c>
      <c r="C818" s="15">
        <v>1590</v>
      </c>
      <c r="D818" s="12">
        <v>3944</v>
      </c>
      <c r="E818" s="13" t="s">
        <v>2635</v>
      </c>
      <c r="F818" s="13" t="s">
        <v>2636</v>
      </c>
      <c r="G818" s="13" t="s">
        <v>86</v>
      </c>
      <c r="H818" s="13" t="s">
        <v>40</v>
      </c>
      <c r="I818" s="12">
        <v>2025</v>
      </c>
      <c r="J818" s="13" t="s">
        <v>2637</v>
      </c>
      <c r="K818" s="12">
        <v>9785916716535</v>
      </c>
      <c r="L818" s="13" t="s">
        <v>2638</v>
      </c>
      <c r="M818" s="12">
        <v>604</v>
      </c>
      <c r="N818" s="14">
        <v>0.88</v>
      </c>
      <c r="O818" s="12">
        <v>146</v>
      </c>
      <c r="P818" s="12">
        <v>216</v>
      </c>
      <c r="Q818" s="12">
        <v>6</v>
      </c>
      <c r="R818" s="13" t="s">
        <v>43</v>
      </c>
      <c r="S818" s="13"/>
      <c r="T818" s="15">
        <v>1000</v>
      </c>
      <c r="U818" s="13" t="s">
        <v>52</v>
      </c>
      <c r="V818" s="13" t="s">
        <v>59</v>
      </c>
      <c r="W818" s="12">
        <v>10</v>
      </c>
      <c r="X818" s="33" t="str">
        <f>HYPERLINK("https://www.alpinabook.ru/catalog/book-krasota-fiziki","ссылка на книгу")</f>
        <v>ссылка на книгу</v>
      </c>
      <c r="Y818" s="34" t="str">
        <f>HYPERLINK("https://api-enni.alpina.ru/FilePrivilegesApproval/131","https://api-enni.alpina.ru/FilePrivilegesApproval/131")</f>
        <v>https://api-enni.alpina.ru/FilePrivilegesApproval/131</v>
      </c>
      <c r="Z818" s="13" t="s">
        <v>277</v>
      </c>
      <c r="AT818" s="1">
        <f t="shared" si="123"/>
        <v>0</v>
      </c>
      <c r="AU818" s="1">
        <f t="shared" si="124"/>
        <v>0</v>
      </c>
      <c r="AV818" s="1">
        <f t="shared" si="125"/>
        <v>0</v>
      </c>
      <c r="AW818" s="1">
        <f t="shared" si="126"/>
        <v>0</v>
      </c>
      <c r="AX818" s="1">
        <f t="shared" si="127"/>
        <v>0</v>
      </c>
    </row>
    <row r="819" spans="1:50" s="1" customFormat="1" ht="24.95" customHeight="1" outlineLevel="3" x14ac:dyDescent="0.2">
      <c r="A819" s="11"/>
      <c r="B819" s="12">
        <v>640</v>
      </c>
      <c r="C819" s="12">
        <v>940</v>
      </c>
      <c r="D819" s="12">
        <v>27550</v>
      </c>
      <c r="E819" s="13" t="s">
        <v>2639</v>
      </c>
      <c r="F819" s="13" t="s">
        <v>2640</v>
      </c>
      <c r="G819" s="13" t="s">
        <v>56</v>
      </c>
      <c r="H819" s="13" t="s">
        <v>40</v>
      </c>
      <c r="I819" s="12">
        <v>2025</v>
      </c>
      <c r="J819" s="13" t="s">
        <v>2641</v>
      </c>
      <c r="K819" s="12">
        <v>9785961485592</v>
      </c>
      <c r="L819" s="13" t="s">
        <v>2642</v>
      </c>
      <c r="M819" s="12">
        <v>344</v>
      </c>
      <c r="N819" s="14">
        <v>0.44</v>
      </c>
      <c r="O819" s="12">
        <v>170</v>
      </c>
      <c r="P819" s="12">
        <v>240</v>
      </c>
      <c r="Q819" s="12">
        <v>10</v>
      </c>
      <c r="R819" s="13" t="s">
        <v>94</v>
      </c>
      <c r="S819" s="13"/>
      <c r="T819" s="15">
        <v>1000</v>
      </c>
      <c r="U819" s="13" t="s">
        <v>44</v>
      </c>
      <c r="V819" s="13" t="s">
        <v>64</v>
      </c>
      <c r="W819" s="12">
        <v>10</v>
      </c>
      <c r="X819" s="33" t="str">
        <f>HYPERLINK("https://www.alpinabook.ru/catalog/book-magiya-matematiki","ссылка на книгу")</f>
        <v>ссылка на книгу</v>
      </c>
      <c r="Y819" s="34" t="str">
        <f>HYPERLINK("https://api-enni.alpina.ru/FilePrivilegesApproval/132","https://api-enni.alpina.ru/FilePrivilegesApproval/132")</f>
        <v>https://api-enni.alpina.ru/FilePrivilegesApproval/132</v>
      </c>
      <c r="Z819" s="13" t="s">
        <v>405</v>
      </c>
      <c r="AT819" s="1">
        <f t="shared" si="123"/>
        <v>0</v>
      </c>
      <c r="AU819" s="1">
        <f t="shared" si="124"/>
        <v>0</v>
      </c>
      <c r="AV819" s="1">
        <f t="shared" si="125"/>
        <v>0</v>
      </c>
      <c r="AW819" s="1">
        <f t="shared" si="126"/>
        <v>0</v>
      </c>
      <c r="AX819" s="1">
        <f t="shared" si="127"/>
        <v>0</v>
      </c>
    </row>
    <row r="820" spans="1:50" s="1" customFormat="1" ht="24.95" customHeight="1" outlineLevel="3" x14ac:dyDescent="0.2">
      <c r="A820" s="11"/>
      <c r="B820" s="15">
        <v>1090</v>
      </c>
      <c r="C820" s="15">
        <v>1590</v>
      </c>
      <c r="D820" s="12">
        <v>24920</v>
      </c>
      <c r="E820" s="13" t="s">
        <v>537</v>
      </c>
      <c r="F820" s="13" t="s">
        <v>538</v>
      </c>
      <c r="G820" s="13" t="s">
        <v>86</v>
      </c>
      <c r="H820" s="13" t="s">
        <v>40</v>
      </c>
      <c r="I820" s="12">
        <v>2025</v>
      </c>
      <c r="J820" s="13" t="s">
        <v>539</v>
      </c>
      <c r="K820" s="12">
        <v>9785001396246</v>
      </c>
      <c r="L820" s="13" t="s">
        <v>540</v>
      </c>
      <c r="M820" s="12">
        <v>542</v>
      </c>
      <c r="N820" s="14">
        <v>0.73</v>
      </c>
      <c r="O820" s="12">
        <v>153</v>
      </c>
      <c r="P820" s="12">
        <v>216</v>
      </c>
      <c r="Q820" s="12">
        <v>5</v>
      </c>
      <c r="R820" s="13" t="s">
        <v>43</v>
      </c>
      <c r="S820" s="13"/>
      <c r="T820" s="15">
        <v>1000</v>
      </c>
      <c r="U820" s="13" t="s">
        <v>52</v>
      </c>
      <c r="V820" s="13" t="s">
        <v>64</v>
      </c>
      <c r="W820" s="12">
        <v>10</v>
      </c>
      <c r="X820" s="33" t="str">
        <f>HYPERLINK("https://www.alpinabook.ru/catalog/book-matematika-kosmosa","ссылка на книгу")</f>
        <v>ссылка на книгу</v>
      </c>
      <c r="Y820" s="34" t="str">
        <f>HYPERLINK("https://api-enni.alpina.ru/FilePrivilegesApproval/131","https://api-enni.alpina.ru/FilePrivilegesApproval/131")</f>
        <v>https://api-enni.alpina.ru/FilePrivilegesApproval/131</v>
      </c>
      <c r="Z820" s="13" t="s">
        <v>65</v>
      </c>
      <c r="AT820" s="1">
        <f t="shared" si="123"/>
        <v>0</v>
      </c>
      <c r="AU820" s="1">
        <f t="shared" si="124"/>
        <v>0</v>
      </c>
      <c r="AV820" s="1">
        <f t="shared" si="125"/>
        <v>0</v>
      </c>
      <c r="AW820" s="1">
        <f t="shared" si="126"/>
        <v>0</v>
      </c>
      <c r="AX820" s="1">
        <f t="shared" si="127"/>
        <v>0</v>
      </c>
    </row>
    <row r="821" spans="1:50" s="1" customFormat="1" ht="24.95" customHeight="1" outlineLevel="3" x14ac:dyDescent="0.2">
      <c r="A821" s="11"/>
      <c r="B821" s="15">
        <v>1340</v>
      </c>
      <c r="C821" s="15">
        <v>1790</v>
      </c>
      <c r="D821" s="12">
        <v>25175</v>
      </c>
      <c r="E821" s="13" t="s">
        <v>2389</v>
      </c>
      <c r="F821" s="13" t="s">
        <v>2643</v>
      </c>
      <c r="G821" s="13" t="s">
        <v>86</v>
      </c>
      <c r="H821" s="13" t="s">
        <v>40</v>
      </c>
      <c r="I821" s="12">
        <v>2025</v>
      </c>
      <c r="J821" s="13" t="s">
        <v>2644</v>
      </c>
      <c r="K821" s="12">
        <v>9785001396475</v>
      </c>
      <c r="L821" s="13" t="s">
        <v>2645</v>
      </c>
      <c r="M821" s="12">
        <v>464</v>
      </c>
      <c r="N821" s="14">
        <v>1.0900000000000001</v>
      </c>
      <c r="O821" s="12">
        <v>190</v>
      </c>
      <c r="P821" s="12">
        <v>240</v>
      </c>
      <c r="Q821" s="12">
        <v>4</v>
      </c>
      <c r="R821" s="13" t="s">
        <v>94</v>
      </c>
      <c r="S821" s="13"/>
      <c r="T821" s="15">
        <v>5000</v>
      </c>
      <c r="U821" s="13" t="s">
        <v>52</v>
      </c>
      <c r="V821" s="13" t="s">
        <v>59</v>
      </c>
      <c r="W821" s="12">
        <v>10</v>
      </c>
      <c r="X821" s="33" t="str">
        <f>HYPERLINK("https://www.alpinabook.ru/catalog/book-matematicheskie-igry-s-duratskimi-risunkami","ссылка на книгу")</f>
        <v>ссылка на книгу</v>
      </c>
      <c r="Y821" s="34" t="str">
        <f>HYPERLINK("https://api-enni.alpina.ru/FilePrivilegesApproval/297","https://api-enni.alpina.ru/FilePrivilegesApproval/297")</f>
        <v>https://api-enni.alpina.ru/FilePrivilegesApproval/297</v>
      </c>
      <c r="Z821" s="13"/>
      <c r="AT821" s="1">
        <f t="shared" si="123"/>
        <v>0</v>
      </c>
      <c r="AU821" s="1">
        <f t="shared" si="124"/>
        <v>0</v>
      </c>
      <c r="AV821" s="1">
        <f t="shared" si="125"/>
        <v>0</v>
      </c>
      <c r="AW821" s="1">
        <f t="shared" si="126"/>
        <v>0</v>
      </c>
      <c r="AX821" s="1">
        <f t="shared" si="127"/>
        <v>0</v>
      </c>
    </row>
    <row r="822" spans="1:50" s="1" customFormat="1" ht="24.95" customHeight="1" outlineLevel="3" x14ac:dyDescent="0.2">
      <c r="A822" s="11"/>
      <c r="B822" s="12">
        <v>740</v>
      </c>
      <c r="C822" s="15">
        <v>1090</v>
      </c>
      <c r="D822" s="12">
        <v>29731</v>
      </c>
      <c r="E822" s="13" t="s">
        <v>748</v>
      </c>
      <c r="F822" s="13" t="s">
        <v>749</v>
      </c>
      <c r="G822" s="13" t="s">
        <v>86</v>
      </c>
      <c r="H822" s="13"/>
      <c r="I822" s="12">
        <v>2025</v>
      </c>
      <c r="J822" s="13" t="s">
        <v>750</v>
      </c>
      <c r="K822" s="12">
        <v>9785002231744</v>
      </c>
      <c r="L822" s="13" t="s">
        <v>751</v>
      </c>
      <c r="M822" s="12">
        <v>376</v>
      </c>
      <c r="N822" s="14">
        <v>0.55000000000000004</v>
      </c>
      <c r="O822" s="12">
        <v>160</v>
      </c>
      <c r="P822" s="12">
        <v>220</v>
      </c>
      <c r="Q822" s="12">
        <v>7</v>
      </c>
      <c r="R822" s="13" t="s">
        <v>100</v>
      </c>
      <c r="S822" s="13"/>
      <c r="T822" s="15">
        <v>10000</v>
      </c>
      <c r="U822" s="13" t="s">
        <v>44</v>
      </c>
      <c r="V822" s="13" t="s">
        <v>59</v>
      </c>
      <c r="W822" s="12">
        <v>10</v>
      </c>
      <c r="X822" s="33" t="str">
        <f>HYPERLINK("https://www.alpinabook.ru/catalog/book-sto-let-nedoskazannosti","ссылка на книгу")</f>
        <v>ссылка на книгу</v>
      </c>
      <c r="Y822" s="34" t="str">
        <f>HYPERLINK("https://api-enni.alpina.ru/FilePrivilegesApproval/714","https://api-enni.alpina.ru/FilePrivilegesApproval/714")</f>
        <v>https://api-enni.alpina.ru/FilePrivilegesApproval/714</v>
      </c>
      <c r="Z822" s="13" t="s">
        <v>277</v>
      </c>
      <c r="AT822" s="1">
        <f t="shared" si="123"/>
        <v>0</v>
      </c>
      <c r="AU822" s="1">
        <f t="shared" si="124"/>
        <v>0</v>
      </c>
      <c r="AV822" s="1">
        <f t="shared" si="125"/>
        <v>0</v>
      </c>
      <c r="AW822" s="1">
        <f t="shared" si="126"/>
        <v>0</v>
      </c>
      <c r="AX822" s="1">
        <f t="shared" si="127"/>
        <v>0</v>
      </c>
    </row>
    <row r="823" spans="1:50" s="1" customFormat="1" ht="24.95" customHeight="1" outlineLevel="3" x14ac:dyDescent="0.2">
      <c r="A823" s="11"/>
      <c r="B823" s="15">
        <v>1390</v>
      </c>
      <c r="C823" s="15">
        <v>1790</v>
      </c>
      <c r="D823" s="12">
        <v>11711</v>
      </c>
      <c r="E823" s="13" t="s">
        <v>2646</v>
      </c>
      <c r="F823" s="13" t="s">
        <v>2647</v>
      </c>
      <c r="G823" s="13" t="s">
        <v>86</v>
      </c>
      <c r="H823" s="13" t="s">
        <v>434</v>
      </c>
      <c r="I823" s="12">
        <v>2024</v>
      </c>
      <c r="J823" s="13" t="s">
        <v>2648</v>
      </c>
      <c r="K823" s="12">
        <v>9785001391074</v>
      </c>
      <c r="L823" s="13" t="s">
        <v>2649</v>
      </c>
      <c r="M823" s="12">
        <v>334</v>
      </c>
      <c r="N823" s="14">
        <v>0.46</v>
      </c>
      <c r="O823" s="12">
        <v>206</v>
      </c>
      <c r="P823" s="12">
        <v>258</v>
      </c>
      <c r="Q823" s="12">
        <v>5</v>
      </c>
      <c r="R823" s="13" t="s">
        <v>300</v>
      </c>
      <c r="S823" s="13"/>
      <c r="T823" s="15">
        <v>1000</v>
      </c>
      <c r="U823" s="13" t="s">
        <v>52</v>
      </c>
      <c r="V823" s="13" t="s">
        <v>59</v>
      </c>
      <c r="W823" s="12">
        <v>10</v>
      </c>
      <c r="X823" s="33" t="str">
        <f>HYPERLINK("https://www.alpinabook.ru/catalog/book-fizika-povsednevnosti","ссылка на книгу")</f>
        <v>ссылка на книгу</v>
      </c>
      <c r="Y823" s="34" t="str">
        <f>HYPERLINK("https://api-enni.alpina.ru/FilePrivilegesApproval/147","https://api-enni.alpina.ru/FilePrivilegesApproval/147")</f>
        <v>https://api-enni.alpina.ru/FilePrivilegesApproval/147</v>
      </c>
      <c r="Z823" s="13"/>
      <c r="AT823" s="1">
        <f t="shared" si="123"/>
        <v>0</v>
      </c>
      <c r="AU823" s="1">
        <f t="shared" si="124"/>
        <v>0</v>
      </c>
      <c r="AV823" s="1">
        <f t="shared" si="125"/>
        <v>0</v>
      </c>
      <c r="AW823" s="1">
        <f t="shared" si="126"/>
        <v>0</v>
      </c>
      <c r="AX823" s="1">
        <f t="shared" si="127"/>
        <v>0</v>
      </c>
    </row>
    <row r="824" spans="1:50" s="1" customFormat="1" ht="24.95" customHeight="1" outlineLevel="3" x14ac:dyDescent="0.2">
      <c r="A824" s="11"/>
      <c r="B824" s="12">
        <v>590</v>
      </c>
      <c r="C824" s="12">
        <v>840</v>
      </c>
      <c r="D824" s="12">
        <v>17983</v>
      </c>
      <c r="E824" s="13" t="s">
        <v>2650</v>
      </c>
      <c r="F824" s="13" t="s">
        <v>2651</v>
      </c>
      <c r="G824" s="13" t="s">
        <v>56</v>
      </c>
      <c r="H824" s="13" t="s">
        <v>40</v>
      </c>
      <c r="I824" s="12">
        <v>2022</v>
      </c>
      <c r="J824" s="13" t="s">
        <v>2652</v>
      </c>
      <c r="K824" s="12">
        <v>9785961478181</v>
      </c>
      <c r="L824" s="13" t="s">
        <v>2653</v>
      </c>
      <c r="M824" s="12">
        <v>194</v>
      </c>
      <c r="N824" s="14">
        <v>0.3</v>
      </c>
      <c r="O824" s="12">
        <v>141</v>
      </c>
      <c r="P824" s="12">
        <v>210</v>
      </c>
      <c r="Q824" s="12">
        <v>16</v>
      </c>
      <c r="R824" s="13" t="s">
        <v>43</v>
      </c>
      <c r="S824" s="13"/>
      <c r="T824" s="15">
        <v>1500</v>
      </c>
      <c r="U824" s="13" t="s">
        <v>44</v>
      </c>
      <c r="V824" s="13" t="s">
        <v>59</v>
      </c>
      <c r="W824" s="12">
        <v>10</v>
      </c>
      <c r="X824" s="33" t="str">
        <f>HYPERLINK("https://www.alpinabook.ru/catalog/book-formuly-na-vse-sluchai-zhizni","ссылка на книгу")</f>
        <v>ссылка на книгу</v>
      </c>
      <c r="Y824" s="34" t="str">
        <f>HYPERLINK("https://api-enni.alpina.ru/FilePrivilegesApproval/153","https://api-enni.alpina.ru/FilePrivilegesApproval/153")</f>
        <v>https://api-enni.alpina.ru/FilePrivilegesApproval/153</v>
      </c>
      <c r="Z824" s="13"/>
      <c r="AT824" s="1">
        <f t="shared" si="123"/>
        <v>0</v>
      </c>
      <c r="AU824" s="1">
        <f t="shared" si="124"/>
        <v>0</v>
      </c>
      <c r="AV824" s="1">
        <f t="shared" si="125"/>
        <v>0</v>
      </c>
      <c r="AW824" s="1">
        <f t="shared" si="126"/>
        <v>0</v>
      </c>
      <c r="AX824" s="1">
        <f t="shared" si="127"/>
        <v>0</v>
      </c>
    </row>
    <row r="825" spans="1:50" s="1" customFormat="1" ht="24.95" customHeight="1" outlineLevel="3" x14ac:dyDescent="0.2">
      <c r="A825" s="26"/>
      <c r="B825" s="27">
        <v>740</v>
      </c>
      <c r="C825" s="28">
        <v>1090</v>
      </c>
      <c r="D825" s="27">
        <v>22769</v>
      </c>
      <c r="E825" s="29" t="s">
        <v>2654</v>
      </c>
      <c r="F825" s="29" t="s">
        <v>2655</v>
      </c>
      <c r="G825" s="29" t="s">
        <v>86</v>
      </c>
      <c r="H825" s="29"/>
      <c r="I825" s="27">
        <v>2025</v>
      </c>
      <c r="J825" s="29" t="s">
        <v>2656</v>
      </c>
      <c r="K825" s="27">
        <v>9785001395614</v>
      </c>
      <c r="L825" s="29" t="s">
        <v>2657</v>
      </c>
      <c r="M825" s="27">
        <v>419</v>
      </c>
      <c r="N825" s="30">
        <v>0.61</v>
      </c>
      <c r="O825" s="27">
        <v>150</v>
      </c>
      <c r="P825" s="27">
        <v>220</v>
      </c>
      <c r="Q825" s="27">
        <v>5</v>
      </c>
      <c r="R825" s="29" t="s">
        <v>43</v>
      </c>
      <c r="S825" s="29"/>
      <c r="T825" s="28">
        <v>1000</v>
      </c>
      <c r="U825" s="29" t="s">
        <v>52</v>
      </c>
      <c r="V825" s="29" t="s">
        <v>64</v>
      </c>
      <c r="W825" s="27">
        <v>10</v>
      </c>
      <c r="X825" s="37" t="str">
        <f>HYPERLINK("https://www.alpinabook.ru/catalog/book-chetyre-damy-i-molodoy-chelovek","ссылка на книгу")</f>
        <v>ссылка на книгу</v>
      </c>
      <c r="Y825" s="38" t="str">
        <f>HYPERLINK("https://api-enni.alpina.ru/FilePrivilegesApproval/147","https://api-enni.alpina.ru/FilePrivilegesApproval/147")</f>
        <v>https://api-enni.alpina.ru/FilePrivilegesApproval/147</v>
      </c>
      <c r="Z825" s="29"/>
      <c r="AT825" s="1">
        <f t="shared" si="123"/>
        <v>0</v>
      </c>
      <c r="AU825" s="1">
        <f t="shared" si="124"/>
        <v>0</v>
      </c>
      <c r="AV825" s="1">
        <f t="shared" si="125"/>
        <v>0</v>
      </c>
      <c r="AW825" s="1">
        <f t="shared" si="126"/>
        <v>0</v>
      </c>
      <c r="AX825" s="1">
        <f t="shared" si="127"/>
        <v>0</v>
      </c>
    </row>
    <row r="826" spans="1:50" s="1" customFormat="1" ht="24.95" customHeight="1" outlineLevel="3" x14ac:dyDescent="0.2">
      <c r="A826" s="11"/>
      <c r="B826" s="12">
        <v>290</v>
      </c>
      <c r="C826" s="12">
        <v>440</v>
      </c>
      <c r="D826" s="12">
        <v>31090</v>
      </c>
      <c r="E826" s="13" t="s">
        <v>2658</v>
      </c>
      <c r="F826" s="13" t="s">
        <v>2659</v>
      </c>
      <c r="G826" s="13" t="s">
        <v>86</v>
      </c>
      <c r="H826" s="13" t="s">
        <v>40</v>
      </c>
      <c r="I826" s="12">
        <v>2024</v>
      </c>
      <c r="J826" s="13" t="s">
        <v>2660</v>
      </c>
      <c r="K826" s="12">
        <v>9785002233922</v>
      </c>
      <c r="L826" s="13" t="s">
        <v>2661</v>
      </c>
      <c r="M826" s="12">
        <v>156</v>
      </c>
      <c r="N826" s="14">
        <v>0.11</v>
      </c>
      <c r="O826" s="12">
        <v>120</v>
      </c>
      <c r="P826" s="12">
        <v>170</v>
      </c>
      <c r="Q826" s="12">
        <v>26</v>
      </c>
      <c r="R826" s="13" t="s">
        <v>75</v>
      </c>
      <c r="S826" s="13" t="s">
        <v>596</v>
      </c>
      <c r="T826" s="15">
        <v>2000</v>
      </c>
      <c r="U826" s="13" t="s">
        <v>44</v>
      </c>
      <c r="V826" s="13" t="s">
        <v>59</v>
      </c>
      <c r="W826" s="12">
        <v>10</v>
      </c>
      <c r="X826" s="33" t="str">
        <f>HYPERLINK("https://www.alpinabook.ru/catalog/book-shest-nevozmozhnostey","ссылка на книгу")</f>
        <v>ссылка на книгу</v>
      </c>
      <c r="Y826" s="34" t="str">
        <f>HYPERLINK("https://api-enni.alpina.ru/FilePrivilegesApproval/149","https://api-enni.alpina.ru/FilePrivilegesApproval/149")</f>
        <v>https://api-enni.alpina.ru/FilePrivilegesApproval/149</v>
      </c>
      <c r="Z826" s="13"/>
      <c r="AT826" s="1">
        <f t="shared" si="123"/>
        <v>0</v>
      </c>
      <c r="AU826" s="1">
        <f t="shared" si="124"/>
        <v>0</v>
      </c>
      <c r="AV826" s="1">
        <f t="shared" si="125"/>
        <v>0</v>
      </c>
      <c r="AW826" s="1">
        <f t="shared" si="126"/>
        <v>0</v>
      </c>
      <c r="AX826" s="1">
        <f t="shared" si="127"/>
        <v>0</v>
      </c>
    </row>
    <row r="827" spans="1:50" s="1" customFormat="1" ht="24.95" customHeight="1" outlineLevel="3" x14ac:dyDescent="0.2">
      <c r="A827" s="11"/>
      <c r="B827" s="12">
        <v>790</v>
      </c>
      <c r="C827" s="15">
        <v>1190</v>
      </c>
      <c r="D827" s="12">
        <v>24112</v>
      </c>
      <c r="E827" s="13" t="s">
        <v>537</v>
      </c>
      <c r="F827" s="13" t="s">
        <v>2662</v>
      </c>
      <c r="G827" s="13" t="s">
        <v>86</v>
      </c>
      <c r="H827" s="13" t="s">
        <v>40</v>
      </c>
      <c r="I827" s="12">
        <v>2025</v>
      </c>
      <c r="J827" s="13" t="s">
        <v>2663</v>
      </c>
      <c r="K827" s="12">
        <v>9785001395768</v>
      </c>
      <c r="L827" s="13" t="s">
        <v>2664</v>
      </c>
      <c r="M827" s="12">
        <v>392</v>
      </c>
      <c r="N827" s="14">
        <v>0.56000000000000005</v>
      </c>
      <c r="O827" s="12">
        <v>150</v>
      </c>
      <c r="P827" s="12">
        <v>220</v>
      </c>
      <c r="Q827" s="12">
        <v>10</v>
      </c>
      <c r="R827" s="13" t="s">
        <v>43</v>
      </c>
      <c r="S827" s="13"/>
      <c r="T827" s="15">
        <v>1500</v>
      </c>
      <c r="U827" s="13" t="s">
        <v>52</v>
      </c>
      <c r="V827" s="13" t="s">
        <v>59</v>
      </c>
      <c r="W827" s="12">
        <v>10</v>
      </c>
      <c r="X827" s="33" t="str">
        <f>HYPERLINK("https://www.alpinabook.ru/catalog/book-eto-baza","ссылка на книгу")</f>
        <v>ссылка на книгу</v>
      </c>
      <c r="Y827" s="34" t="str">
        <f>HYPERLINK("https://api-enni.alpina.ru/FilePrivilegesApproval/634","https://api-enni.alpina.ru/FilePrivilegesApproval/634")</f>
        <v>https://api-enni.alpina.ru/FilePrivilegesApproval/634</v>
      </c>
      <c r="Z827" s="13" t="s">
        <v>775</v>
      </c>
      <c r="AT827" s="1">
        <f t="shared" si="123"/>
        <v>0</v>
      </c>
      <c r="AU827" s="1">
        <f t="shared" si="124"/>
        <v>0</v>
      </c>
      <c r="AV827" s="1">
        <f t="shared" si="125"/>
        <v>0</v>
      </c>
      <c r="AW827" s="1">
        <f t="shared" si="126"/>
        <v>0</v>
      </c>
      <c r="AX827" s="1">
        <f t="shared" si="127"/>
        <v>0</v>
      </c>
    </row>
    <row r="828" spans="1:50" ht="11.1" customHeight="1" outlineLevel="2" x14ac:dyDescent="0.2">
      <c r="A828" s="40" t="s">
        <v>2665</v>
      </c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20"/>
    </row>
    <row r="829" spans="1:50" s="1" customFormat="1" ht="24.95" customHeight="1" outlineLevel="3" x14ac:dyDescent="0.2">
      <c r="A829" s="11"/>
      <c r="B829" s="12">
        <v>340</v>
      </c>
      <c r="C829" s="12">
        <v>490</v>
      </c>
      <c r="D829" s="12">
        <v>29186</v>
      </c>
      <c r="E829" s="13" t="s">
        <v>2666</v>
      </c>
      <c r="F829" s="13" t="s">
        <v>2667</v>
      </c>
      <c r="G829" s="13" t="s">
        <v>86</v>
      </c>
      <c r="H829" s="13"/>
      <c r="I829" s="12">
        <v>2024</v>
      </c>
      <c r="J829" s="13" t="s">
        <v>2668</v>
      </c>
      <c r="K829" s="12">
        <v>9785002231201</v>
      </c>
      <c r="L829" s="13" t="s">
        <v>2669</v>
      </c>
      <c r="M829" s="12">
        <v>240</v>
      </c>
      <c r="N829" s="14">
        <v>0.16</v>
      </c>
      <c r="O829" s="12">
        <v>120</v>
      </c>
      <c r="P829" s="12">
        <v>170</v>
      </c>
      <c r="Q829" s="12">
        <v>18</v>
      </c>
      <c r="R829" s="13" t="s">
        <v>75</v>
      </c>
      <c r="S829" s="13" t="s">
        <v>1317</v>
      </c>
      <c r="T829" s="15">
        <v>2000</v>
      </c>
      <c r="U829" s="13" t="s">
        <v>44</v>
      </c>
      <c r="V829" s="13" t="s">
        <v>59</v>
      </c>
      <c r="W829" s="12">
        <v>10</v>
      </c>
      <c r="X829" s="33" t="str">
        <f>HYPERLINK("https://www.alpinabook.ru/catalog/book-30-nobelevskikh-premiy","ссылка на книгу")</f>
        <v>ссылка на книгу</v>
      </c>
      <c r="Y829" s="34" t="str">
        <f>HYPERLINK("https://api-enni.alpina.ru/FilePrivilegesApproval/323","https://api-enni.alpina.ru/FilePrivilegesApproval/323")</f>
        <v>https://api-enni.alpina.ru/FilePrivilegesApproval/323</v>
      </c>
      <c r="Z829" s="13"/>
      <c r="AT829" s="1">
        <f t="shared" ref="AT829:AT860" si="128">IF($A829&lt;&gt;0,1,0)</f>
        <v>0</v>
      </c>
      <c r="AU829" s="1">
        <f t="shared" ref="AU829:AU860" si="129">$A829*$B829</f>
        <v>0</v>
      </c>
      <c r="AV829" s="1">
        <f t="shared" ref="AV829:AV860" si="130">$A829*$N829</f>
        <v>0</v>
      </c>
      <c r="AW829" s="1">
        <f t="shared" ref="AW829:AW860" si="131">IF($Q829=0,0,INT($A829/$Q829))</f>
        <v>0</v>
      </c>
      <c r="AX829" s="1">
        <f t="shared" ref="AX829:AX860" si="132">$A829-$AW829*$Q829</f>
        <v>0</v>
      </c>
    </row>
    <row r="830" spans="1:50" s="1" customFormat="1" ht="24.95" customHeight="1" outlineLevel="3" x14ac:dyDescent="0.2">
      <c r="A830" s="11"/>
      <c r="B830" s="12">
        <v>690</v>
      </c>
      <c r="C830" s="12">
        <v>690</v>
      </c>
      <c r="D830" s="12">
        <v>20888</v>
      </c>
      <c r="E830" s="13" t="s">
        <v>2670</v>
      </c>
      <c r="F830" s="13" t="s">
        <v>2671</v>
      </c>
      <c r="G830" s="13" t="s">
        <v>86</v>
      </c>
      <c r="H830" s="13" t="s">
        <v>40</v>
      </c>
      <c r="I830" s="12">
        <v>2023</v>
      </c>
      <c r="J830" s="13" t="s">
        <v>2672</v>
      </c>
      <c r="K830" s="12">
        <v>9785001397625</v>
      </c>
      <c r="L830" s="13" t="s">
        <v>2673</v>
      </c>
      <c r="M830" s="12">
        <v>400</v>
      </c>
      <c r="N830" s="14">
        <v>0.56000000000000005</v>
      </c>
      <c r="O830" s="12">
        <v>146</v>
      </c>
      <c r="P830" s="12">
        <v>216</v>
      </c>
      <c r="Q830" s="12">
        <v>12</v>
      </c>
      <c r="R830" s="13" t="s">
        <v>43</v>
      </c>
      <c r="S830" s="13"/>
      <c r="T830" s="15">
        <v>2000</v>
      </c>
      <c r="U830" s="13" t="s">
        <v>52</v>
      </c>
      <c r="V830" s="13" t="s">
        <v>59</v>
      </c>
      <c r="W830" s="12">
        <v>10</v>
      </c>
      <c r="X830" s="33" t="str">
        <f>HYPERLINK("https://www.alpinabook.ru/catalog/book-alkhimiya-i-zhizn","ссылка на книгу")</f>
        <v>ссылка на книгу</v>
      </c>
      <c r="Y830" s="34" t="str">
        <f>HYPERLINK("https://api-enni.alpina.ru/FilePrivilegesApproval/171","https://api-enni.alpina.ru/FilePrivilegesApproval/171")</f>
        <v>https://api-enni.alpina.ru/FilePrivilegesApproval/171</v>
      </c>
      <c r="Z830" s="13"/>
      <c r="AT830" s="1">
        <f t="shared" si="128"/>
        <v>0</v>
      </c>
      <c r="AU830" s="1">
        <f t="shared" si="129"/>
        <v>0</v>
      </c>
      <c r="AV830" s="1">
        <f t="shared" si="130"/>
        <v>0</v>
      </c>
      <c r="AW830" s="1">
        <f t="shared" si="131"/>
        <v>0</v>
      </c>
      <c r="AX830" s="1">
        <f t="shared" si="132"/>
        <v>0</v>
      </c>
    </row>
    <row r="831" spans="1:50" s="1" customFormat="1" ht="24.95" customHeight="1" outlineLevel="3" x14ac:dyDescent="0.2">
      <c r="A831" s="26"/>
      <c r="B831" s="27">
        <v>640</v>
      </c>
      <c r="C831" s="27">
        <v>940</v>
      </c>
      <c r="D831" s="27">
        <v>6688</v>
      </c>
      <c r="E831" s="29" t="s">
        <v>2674</v>
      </c>
      <c r="F831" s="29" t="s">
        <v>2675</v>
      </c>
      <c r="G831" s="29" t="s">
        <v>56</v>
      </c>
      <c r="H831" s="29" t="s">
        <v>40</v>
      </c>
      <c r="I831" s="27">
        <v>2025</v>
      </c>
      <c r="J831" s="29" t="s">
        <v>2676</v>
      </c>
      <c r="K831" s="27">
        <v>9785961461787</v>
      </c>
      <c r="L831" s="29" t="s">
        <v>2677</v>
      </c>
      <c r="M831" s="27">
        <v>232</v>
      </c>
      <c r="N831" s="30">
        <v>0.39</v>
      </c>
      <c r="O831" s="27">
        <v>146</v>
      </c>
      <c r="P831" s="27">
        <v>216</v>
      </c>
      <c r="Q831" s="27">
        <v>5</v>
      </c>
      <c r="R831" s="29" t="s">
        <v>43</v>
      </c>
      <c r="S831" s="29"/>
      <c r="T831" s="28">
        <v>1000</v>
      </c>
      <c r="U831" s="29" t="s">
        <v>52</v>
      </c>
      <c r="V831" s="29" t="s">
        <v>59</v>
      </c>
      <c r="W831" s="27">
        <v>10</v>
      </c>
      <c r="X831" s="37" t="str">
        <f>HYPERLINK("https://www.alpinabook.ru/catalog/book-bespokoynyy-um","ссылка на книгу")</f>
        <v>ссылка на книгу</v>
      </c>
      <c r="Y831" s="38" t="str">
        <f>HYPERLINK("https://api-enni.alpina.ru/FilePrivilegesApproval/2","https://api-enni.alpina.ru/FilePrivilegesApproval/2")</f>
        <v>https://api-enni.alpina.ru/FilePrivilegesApproval/2</v>
      </c>
      <c r="Z831" s="29"/>
      <c r="AT831" s="1">
        <f t="shared" si="128"/>
        <v>0</v>
      </c>
      <c r="AU831" s="1">
        <f t="shared" si="129"/>
        <v>0</v>
      </c>
      <c r="AV831" s="1">
        <f t="shared" si="130"/>
        <v>0</v>
      </c>
      <c r="AW831" s="1">
        <f t="shared" si="131"/>
        <v>0</v>
      </c>
      <c r="AX831" s="1">
        <f t="shared" si="132"/>
        <v>0</v>
      </c>
    </row>
    <row r="832" spans="1:50" s="1" customFormat="1" ht="24.95" customHeight="1" outlineLevel="3" x14ac:dyDescent="0.2">
      <c r="A832" s="11"/>
      <c r="B832" s="12">
        <v>590</v>
      </c>
      <c r="C832" s="12">
        <v>590</v>
      </c>
      <c r="D832" s="12">
        <v>11698</v>
      </c>
      <c r="E832" s="13" t="s">
        <v>2678</v>
      </c>
      <c r="F832" s="13" t="s">
        <v>2679</v>
      </c>
      <c r="G832" s="13" t="s">
        <v>86</v>
      </c>
      <c r="H832" s="13" t="s">
        <v>40</v>
      </c>
      <c r="I832" s="12">
        <v>2022</v>
      </c>
      <c r="J832" s="13" t="s">
        <v>2680</v>
      </c>
      <c r="K832" s="12">
        <v>9785001390862</v>
      </c>
      <c r="L832" s="13" t="s">
        <v>2681</v>
      </c>
      <c r="M832" s="12">
        <v>294</v>
      </c>
      <c r="N832" s="14">
        <v>0.45</v>
      </c>
      <c r="O832" s="12">
        <v>146</v>
      </c>
      <c r="P832" s="12">
        <v>216</v>
      </c>
      <c r="Q832" s="12">
        <v>12</v>
      </c>
      <c r="R832" s="13" t="s">
        <v>43</v>
      </c>
      <c r="S832" s="13"/>
      <c r="T832" s="15">
        <v>2000</v>
      </c>
      <c r="U832" s="13" t="s">
        <v>52</v>
      </c>
      <c r="V832" s="13" t="s">
        <v>59</v>
      </c>
      <c r="W832" s="12">
        <v>10</v>
      </c>
      <c r="X832" s="33" t="str">
        <f>HYPERLINK("https://www.alpinabook.ru/catalog/book-blizkie-kontakty","ссылка на книгу")</f>
        <v>ссылка на книгу</v>
      </c>
      <c r="Y832" s="34" t="str">
        <f>HYPERLINK("https://api-enni.alpina.ru/FilePrivilegesApproval/146","https://api-enni.alpina.ru/FilePrivilegesApproval/146")</f>
        <v>https://api-enni.alpina.ru/FilePrivilegesApproval/146</v>
      </c>
      <c r="Z832" s="13"/>
      <c r="AT832" s="1">
        <f t="shared" si="128"/>
        <v>0</v>
      </c>
      <c r="AU832" s="1">
        <f t="shared" si="129"/>
        <v>0</v>
      </c>
      <c r="AV832" s="1">
        <f t="shared" si="130"/>
        <v>0</v>
      </c>
      <c r="AW832" s="1">
        <f t="shared" si="131"/>
        <v>0</v>
      </c>
      <c r="AX832" s="1">
        <f t="shared" si="132"/>
        <v>0</v>
      </c>
    </row>
    <row r="833" spans="1:50" s="1" customFormat="1" ht="24.95" customHeight="1" outlineLevel="3" x14ac:dyDescent="0.2">
      <c r="A833" s="11"/>
      <c r="B833" s="12">
        <v>640</v>
      </c>
      <c r="C833" s="12">
        <v>640</v>
      </c>
      <c r="D833" s="12">
        <v>18766</v>
      </c>
      <c r="E833" s="13" t="s">
        <v>2682</v>
      </c>
      <c r="F833" s="13" t="s">
        <v>2683</v>
      </c>
      <c r="G833" s="13" t="s">
        <v>86</v>
      </c>
      <c r="H833" s="13" t="s">
        <v>40</v>
      </c>
      <c r="I833" s="12">
        <v>2021</v>
      </c>
      <c r="J833" s="13" t="s">
        <v>2684</v>
      </c>
      <c r="K833" s="12">
        <v>9785916719581</v>
      </c>
      <c r="L833" s="13" t="s">
        <v>2685</v>
      </c>
      <c r="M833" s="12">
        <v>276</v>
      </c>
      <c r="N833" s="14">
        <v>0.43</v>
      </c>
      <c r="O833" s="12">
        <v>146</v>
      </c>
      <c r="P833" s="12">
        <v>216</v>
      </c>
      <c r="Q833" s="12">
        <v>12</v>
      </c>
      <c r="R833" s="13" t="s">
        <v>43</v>
      </c>
      <c r="S833" s="13"/>
      <c r="T833" s="15">
        <v>3000</v>
      </c>
      <c r="U833" s="13" t="s">
        <v>52</v>
      </c>
      <c r="V833" s="13" t="s">
        <v>45</v>
      </c>
      <c r="W833" s="12">
        <v>10</v>
      </c>
      <c r="X833" s="33" t="str">
        <f>HYPERLINK("https://www.alpinabook.ru/catalog/book-bol-v-tvoey-golove","ссылка на книгу")</f>
        <v>ссылка на книгу</v>
      </c>
      <c r="Y833" s="34" t="str">
        <f>HYPERLINK("https://api-enni.alpina.ru/FilePrivilegesApproval/149","https://api-enni.alpina.ru/FilePrivilegesApproval/149")</f>
        <v>https://api-enni.alpina.ru/FilePrivilegesApproval/149</v>
      </c>
      <c r="Z833" s="13"/>
      <c r="AT833" s="1">
        <f t="shared" si="128"/>
        <v>0</v>
      </c>
      <c r="AU833" s="1">
        <f t="shared" si="129"/>
        <v>0</v>
      </c>
      <c r="AV833" s="1">
        <f t="shared" si="130"/>
        <v>0</v>
      </c>
      <c r="AW833" s="1">
        <f t="shared" si="131"/>
        <v>0</v>
      </c>
      <c r="AX833" s="1">
        <f t="shared" si="132"/>
        <v>0</v>
      </c>
    </row>
    <row r="834" spans="1:50" s="1" customFormat="1" ht="24.95" customHeight="1" outlineLevel="3" x14ac:dyDescent="0.2">
      <c r="A834" s="11"/>
      <c r="B834" s="12">
        <v>650</v>
      </c>
      <c r="C834" s="12">
        <v>990</v>
      </c>
      <c r="D834" s="12">
        <v>21194</v>
      </c>
      <c r="E834" s="13" t="s">
        <v>2686</v>
      </c>
      <c r="F834" s="13" t="s">
        <v>2687</v>
      </c>
      <c r="G834" s="13" t="s">
        <v>86</v>
      </c>
      <c r="H834" s="13" t="s">
        <v>40</v>
      </c>
      <c r="I834" s="12">
        <v>2023</v>
      </c>
      <c r="J834" s="13" t="s">
        <v>2688</v>
      </c>
      <c r="K834" s="12">
        <v>9785001398684</v>
      </c>
      <c r="L834" s="13" t="s">
        <v>2689</v>
      </c>
      <c r="M834" s="12">
        <v>624</v>
      </c>
      <c r="N834" s="14">
        <v>0.62</v>
      </c>
      <c r="O834" s="12">
        <v>150</v>
      </c>
      <c r="P834" s="12">
        <v>210</v>
      </c>
      <c r="Q834" s="12">
        <v>8</v>
      </c>
      <c r="R834" s="13" t="s">
        <v>43</v>
      </c>
      <c r="S834" s="13" t="s">
        <v>2690</v>
      </c>
      <c r="T834" s="15">
        <v>2500</v>
      </c>
      <c r="U834" s="13" t="s">
        <v>44</v>
      </c>
      <c r="V834" s="13" t="s">
        <v>59</v>
      </c>
      <c r="W834" s="12">
        <v>10</v>
      </c>
      <c r="X834" s="33" t="str">
        <f>HYPERLINK("https://www.alpinabook.ru/catalog/book-v-pogone-za-cherepakhoy","ссылка на книгу")</f>
        <v>ссылка на книгу</v>
      </c>
      <c r="Y834" s="34" t="str">
        <f>HYPERLINK("https://api-enni.alpina.ru/FilePrivilegesApproval/294","https://api-enni.alpina.ru/FilePrivilegesApproval/294")</f>
        <v>https://api-enni.alpina.ru/FilePrivilegesApproval/294</v>
      </c>
      <c r="Z834" s="13"/>
      <c r="AT834" s="1">
        <f t="shared" si="128"/>
        <v>0</v>
      </c>
      <c r="AU834" s="1">
        <f t="shared" si="129"/>
        <v>0</v>
      </c>
      <c r="AV834" s="1">
        <f t="shared" si="130"/>
        <v>0</v>
      </c>
      <c r="AW834" s="1">
        <f t="shared" si="131"/>
        <v>0</v>
      </c>
      <c r="AX834" s="1">
        <f t="shared" si="132"/>
        <v>0</v>
      </c>
    </row>
    <row r="835" spans="1:50" s="1" customFormat="1" ht="24.95" customHeight="1" outlineLevel="3" x14ac:dyDescent="0.2">
      <c r="A835" s="11"/>
      <c r="B835" s="12">
        <v>590</v>
      </c>
      <c r="C835" s="12">
        <v>890</v>
      </c>
      <c r="D835" s="12">
        <v>19306</v>
      </c>
      <c r="E835" s="13" t="s">
        <v>351</v>
      </c>
      <c r="F835" s="13" t="s">
        <v>352</v>
      </c>
      <c r="G835" s="13" t="s">
        <v>86</v>
      </c>
      <c r="H835" s="13"/>
      <c r="I835" s="12">
        <v>2025</v>
      </c>
      <c r="J835" s="13" t="s">
        <v>353</v>
      </c>
      <c r="K835" s="12">
        <v>9785001393825</v>
      </c>
      <c r="L835" s="13" t="s">
        <v>354</v>
      </c>
      <c r="M835" s="12">
        <v>404</v>
      </c>
      <c r="N835" s="14">
        <v>0.54</v>
      </c>
      <c r="O835" s="12">
        <v>153</v>
      </c>
      <c r="P835" s="12">
        <v>216</v>
      </c>
      <c r="Q835" s="12">
        <v>5</v>
      </c>
      <c r="R835" s="13" t="s">
        <v>43</v>
      </c>
      <c r="S835" s="13"/>
      <c r="T835" s="15">
        <v>1000</v>
      </c>
      <c r="U835" s="13" t="s">
        <v>52</v>
      </c>
      <c r="V835" s="13" t="s">
        <v>64</v>
      </c>
      <c r="W835" s="12">
        <v>10</v>
      </c>
      <c r="X835" s="33" t="str">
        <f>HYPERLINK("","ссылка на книгу")</f>
        <v>ссылка на книгу</v>
      </c>
      <c r="Y835" s="34" t="str">
        <f>HYPERLINK("https://api-enni.alpina.ru/FilePrivilegesApproval/131","https://api-enni.alpina.ru/FilePrivilegesApproval/131")</f>
        <v>https://api-enni.alpina.ru/FilePrivilegesApproval/131</v>
      </c>
      <c r="Z835" s="13" t="s">
        <v>101</v>
      </c>
      <c r="AT835" s="1">
        <f t="shared" si="128"/>
        <v>0</v>
      </c>
      <c r="AU835" s="1">
        <f t="shared" si="129"/>
        <v>0</v>
      </c>
      <c r="AV835" s="1">
        <f t="shared" si="130"/>
        <v>0</v>
      </c>
      <c r="AW835" s="1">
        <f t="shared" si="131"/>
        <v>0</v>
      </c>
      <c r="AX835" s="1">
        <f t="shared" si="132"/>
        <v>0</v>
      </c>
    </row>
    <row r="836" spans="1:50" s="1" customFormat="1" ht="24.95" customHeight="1" outlineLevel="3" x14ac:dyDescent="0.2">
      <c r="A836" s="11"/>
      <c r="B836" s="12">
        <v>590</v>
      </c>
      <c r="C836" s="12">
        <v>840</v>
      </c>
      <c r="D836" s="12">
        <v>5619</v>
      </c>
      <c r="E836" s="13" t="s">
        <v>355</v>
      </c>
      <c r="F836" s="13" t="s">
        <v>356</v>
      </c>
      <c r="G836" s="13" t="s">
        <v>56</v>
      </c>
      <c r="H836" s="13" t="s">
        <v>40</v>
      </c>
      <c r="I836" s="12">
        <v>2025</v>
      </c>
      <c r="J836" s="13" t="s">
        <v>357</v>
      </c>
      <c r="K836" s="12">
        <v>9785961469028</v>
      </c>
      <c r="L836" s="13" t="s">
        <v>358</v>
      </c>
      <c r="M836" s="12">
        <v>348</v>
      </c>
      <c r="N836" s="14">
        <v>0.51</v>
      </c>
      <c r="O836" s="12">
        <v>146</v>
      </c>
      <c r="P836" s="12">
        <v>216</v>
      </c>
      <c r="Q836" s="12">
        <v>12</v>
      </c>
      <c r="R836" s="13" t="s">
        <v>43</v>
      </c>
      <c r="S836" s="13"/>
      <c r="T836" s="15">
        <v>3000</v>
      </c>
      <c r="U836" s="13" t="s">
        <v>52</v>
      </c>
      <c r="V836" s="13" t="s">
        <v>64</v>
      </c>
      <c r="W836" s="12">
        <v>10</v>
      </c>
      <c r="X836" s="33" t="str">
        <f>HYPERLINK("https://www.alpinabook.ru/catalog/book-vkus","ссылка на книгу")</f>
        <v>ссылка на книгу</v>
      </c>
      <c r="Y836" s="34" t="str">
        <f>HYPERLINK("https://api-enni.alpina.ru/FilePrivilegesApproval/2","https://api-enni.alpina.ru/FilePrivilegesApproval/2")</f>
        <v>https://api-enni.alpina.ru/FilePrivilegesApproval/2</v>
      </c>
      <c r="Z836" s="13" t="s">
        <v>77</v>
      </c>
      <c r="AT836" s="1">
        <f t="shared" si="128"/>
        <v>0</v>
      </c>
      <c r="AU836" s="1">
        <f t="shared" si="129"/>
        <v>0</v>
      </c>
      <c r="AV836" s="1">
        <f t="shared" si="130"/>
        <v>0</v>
      </c>
      <c r="AW836" s="1">
        <f t="shared" si="131"/>
        <v>0</v>
      </c>
      <c r="AX836" s="1">
        <f t="shared" si="132"/>
        <v>0</v>
      </c>
    </row>
    <row r="837" spans="1:50" s="1" customFormat="1" ht="24.95" customHeight="1" outlineLevel="3" x14ac:dyDescent="0.2">
      <c r="A837" s="11"/>
      <c r="B837" s="12">
        <v>790</v>
      </c>
      <c r="C837" s="12">
        <v>890</v>
      </c>
      <c r="D837" s="12">
        <v>19422</v>
      </c>
      <c r="E837" s="13" t="s">
        <v>2686</v>
      </c>
      <c r="F837" s="13" t="s">
        <v>2691</v>
      </c>
      <c r="G837" s="13" t="s">
        <v>86</v>
      </c>
      <c r="H837" s="13" t="s">
        <v>40</v>
      </c>
      <c r="I837" s="12">
        <v>2023</v>
      </c>
      <c r="J837" s="13" t="s">
        <v>2692</v>
      </c>
      <c r="K837" s="12">
        <v>9785001394488</v>
      </c>
      <c r="L837" s="13" t="s">
        <v>2693</v>
      </c>
      <c r="M837" s="12">
        <v>512</v>
      </c>
      <c r="N837" s="14">
        <v>0.7</v>
      </c>
      <c r="O837" s="12">
        <v>146</v>
      </c>
      <c r="P837" s="12">
        <v>216</v>
      </c>
      <c r="Q837" s="12">
        <v>10</v>
      </c>
      <c r="R837" s="13" t="s">
        <v>43</v>
      </c>
      <c r="S837" s="13"/>
      <c r="T837" s="15">
        <v>2500</v>
      </c>
      <c r="U837" s="13" t="s">
        <v>52</v>
      </c>
      <c r="V837" s="13" t="s">
        <v>45</v>
      </c>
      <c r="W837" s="12">
        <v>10</v>
      </c>
      <c r="X837" s="33" t="str">
        <f>HYPERLINK("https://www.alpinabook.ru/catalog/book-vospitanie-dikosti","ссылка на книгу")</f>
        <v>ссылка на книгу</v>
      </c>
      <c r="Y837" s="34" t="str">
        <f>HYPERLINK("https://api-enni.alpina.ru/FilePrivilegesApproval/171","https://api-enni.alpina.ru/FilePrivilegesApproval/171")</f>
        <v>https://api-enni.alpina.ru/FilePrivilegesApproval/171</v>
      </c>
      <c r="Z837" s="13"/>
      <c r="AT837" s="1">
        <f t="shared" si="128"/>
        <v>0</v>
      </c>
      <c r="AU837" s="1">
        <f t="shared" si="129"/>
        <v>0</v>
      </c>
      <c r="AV837" s="1">
        <f t="shared" si="130"/>
        <v>0</v>
      </c>
      <c r="AW837" s="1">
        <f t="shared" si="131"/>
        <v>0</v>
      </c>
      <c r="AX837" s="1">
        <f t="shared" si="132"/>
        <v>0</v>
      </c>
    </row>
    <row r="838" spans="1:50" s="1" customFormat="1" ht="24.95" customHeight="1" outlineLevel="3" x14ac:dyDescent="0.2">
      <c r="A838" s="11"/>
      <c r="B838" s="12">
        <v>640</v>
      </c>
      <c r="C838" s="12">
        <v>640</v>
      </c>
      <c r="D838" s="12">
        <v>18332</v>
      </c>
      <c r="E838" s="13" t="s">
        <v>2694</v>
      </c>
      <c r="F838" s="13" t="s">
        <v>2695</v>
      </c>
      <c r="G838" s="13" t="s">
        <v>86</v>
      </c>
      <c r="H838" s="13" t="s">
        <v>40</v>
      </c>
      <c r="I838" s="12">
        <v>2021</v>
      </c>
      <c r="J838" s="13" t="s">
        <v>2696</v>
      </c>
      <c r="K838" s="12">
        <v>9785001394952</v>
      </c>
      <c r="L838" s="13" t="s">
        <v>2697</v>
      </c>
      <c r="M838" s="12">
        <v>284</v>
      </c>
      <c r="N838" s="14">
        <v>0.44</v>
      </c>
      <c r="O838" s="12">
        <v>146</v>
      </c>
      <c r="P838" s="12">
        <v>216</v>
      </c>
      <c r="Q838" s="12">
        <v>14</v>
      </c>
      <c r="R838" s="13" t="s">
        <v>43</v>
      </c>
      <c r="S838" s="13"/>
      <c r="T838" s="15">
        <v>3000</v>
      </c>
      <c r="U838" s="13" t="s">
        <v>52</v>
      </c>
      <c r="V838" s="13" t="s">
        <v>45</v>
      </c>
      <c r="W838" s="12">
        <v>10</v>
      </c>
      <c r="X838" s="33" t="str">
        <f>HYPERLINK("https://www.alpinabook.ru/catalog/book-627911","ссылка на книгу")</f>
        <v>ссылка на книгу</v>
      </c>
      <c r="Y838" s="34" t="str">
        <f>HYPERLINK("https://api-enni.alpina.ru/FilePrivilegesApproval/149","https://api-enni.alpina.ru/FilePrivilegesApproval/149")</f>
        <v>https://api-enni.alpina.ru/FilePrivilegesApproval/149</v>
      </c>
      <c r="Z838" s="13"/>
      <c r="AT838" s="1">
        <f t="shared" si="128"/>
        <v>0</v>
      </c>
      <c r="AU838" s="1">
        <f t="shared" si="129"/>
        <v>0</v>
      </c>
      <c r="AV838" s="1">
        <f t="shared" si="130"/>
        <v>0</v>
      </c>
      <c r="AW838" s="1">
        <f t="shared" si="131"/>
        <v>0</v>
      </c>
      <c r="AX838" s="1">
        <f t="shared" si="132"/>
        <v>0</v>
      </c>
    </row>
    <row r="839" spans="1:50" s="1" customFormat="1" ht="24.95" customHeight="1" outlineLevel="3" x14ac:dyDescent="0.2">
      <c r="A839" s="11"/>
      <c r="B839" s="12">
        <v>360</v>
      </c>
      <c r="C839" s="12">
        <v>590</v>
      </c>
      <c r="D839" s="12">
        <v>29897</v>
      </c>
      <c r="E839" s="13" t="s">
        <v>2698</v>
      </c>
      <c r="F839" s="13" t="s">
        <v>2699</v>
      </c>
      <c r="G839" s="13" t="s">
        <v>86</v>
      </c>
      <c r="H839" s="13" t="s">
        <v>40</v>
      </c>
      <c r="I839" s="12">
        <v>2025</v>
      </c>
      <c r="J839" s="13" t="s">
        <v>2700</v>
      </c>
      <c r="K839" s="12">
        <v>9785002232048</v>
      </c>
      <c r="L839" s="13" t="s">
        <v>2701</v>
      </c>
      <c r="M839" s="12">
        <v>416</v>
      </c>
      <c r="N839" s="14">
        <v>0.27</v>
      </c>
      <c r="O839" s="12">
        <v>120</v>
      </c>
      <c r="P839" s="12">
        <v>170</v>
      </c>
      <c r="Q839" s="12">
        <v>20</v>
      </c>
      <c r="R839" s="13" t="s">
        <v>75</v>
      </c>
      <c r="S839" s="13" t="s">
        <v>1317</v>
      </c>
      <c r="T839" s="15">
        <v>2000</v>
      </c>
      <c r="U839" s="13" t="s">
        <v>44</v>
      </c>
      <c r="V839" s="13" t="s">
        <v>45</v>
      </c>
      <c r="W839" s="12">
        <v>10</v>
      </c>
      <c r="X839" s="33" t="str">
        <f>HYPERLINK("https://www.alpinabook.ru/catalog/book-vtoroy-mozg","ссылка на книгу")</f>
        <v>ссылка на книгу</v>
      </c>
      <c r="Y839" s="34" t="str">
        <f>HYPERLINK("https://api-enni.alpina.ru/FilePrivilegesApproval/215","https://api-enni.alpina.ru/FilePrivilegesApproval/215")</f>
        <v>https://api-enni.alpina.ru/FilePrivilegesApproval/215</v>
      </c>
      <c r="Z839" s="13"/>
      <c r="AT839" s="1">
        <f t="shared" si="128"/>
        <v>0</v>
      </c>
      <c r="AU839" s="1">
        <f t="shared" si="129"/>
        <v>0</v>
      </c>
      <c r="AV839" s="1">
        <f t="shared" si="130"/>
        <v>0</v>
      </c>
      <c r="AW839" s="1">
        <f t="shared" si="131"/>
        <v>0</v>
      </c>
      <c r="AX839" s="1">
        <f t="shared" si="132"/>
        <v>0</v>
      </c>
    </row>
    <row r="840" spans="1:50" s="1" customFormat="1" ht="24.95" customHeight="1" outlineLevel="3" x14ac:dyDescent="0.2">
      <c r="A840" s="11"/>
      <c r="B840" s="12">
        <v>890</v>
      </c>
      <c r="C840" s="15">
        <v>1290</v>
      </c>
      <c r="D840" s="12">
        <v>21210</v>
      </c>
      <c r="E840" s="13" t="s">
        <v>2686</v>
      </c>
      <c r="F840" s="13" t="s">
        <v>2702</v>
      </c>
      <c r="G840" s="13" t="s">
        <v>86</v>
      </c>
      <c r="H840" s="13" t="s">
        <v>40</v>
      </c>
      <c r="I840" s="12">
        <v>2022</v>
      </c>
      <c r="J840" s="13" t="s">
        <v>2703</v>
      </c>
      <c r="K840" s="12">
        <v>9785001396925</v>
      </c>
      <c r="L840" s="13" t="s">
        <v>2704</v>
      </c>
      <c r="M840" s="12">
        <v>624</v>
      </c>
      <c r="N840" s="14">
        <v>0.6</v>
      </c>
      <c r="O840" s="12">
        <v>141</v>
      </c>
      <c r="P840" s="12">
        <v>210</v>
      </c>
      <c r="Q840" s="12">
        <v>8</v>
      </c>
      <c r="R840" s="13" t="s">
        <v>43</v>
      </c>
      <c r="S840" s="13" t="s">
        <v>2690</v>
      </c>
      <c r="T840" s="15">
        <v>2000</v>
      </c>
      <c r="U840" s="13" t="s">
        <v>44</v>
      </c>
      <c r="V840" s="13" t="s">
        <v>59</v>
      </c>
      <c r="W840" s="12">
        <v>10</v>
      </c>
      <c r="X840" s="33" t="str">
        <f>HYPERLINK("https://www.alpinabook.ru/catalog/book-glazami-albatrosa","ссылка на книгу")</f>
        <v>ссылка на книгу</v>
      </c>
      <c r="Y840" s="34" t="str">
        <f>HYPERLINK("https://api-enni.alpina.ru/FilePrivilegesApproval/179","https://api-enni.alpina.ru/FilePrivilegesApproval/179")</f>
        <v>https://api-enni.alpina.ru/FilePrivilegesApproval/179</v>
      </c>
      <c r="Z840" s="13"/>
      <c r="AT840" s="1">
        <f t="shared" si="128"/>
        <v>0</v>
      </c>
      <c r="AU840" s="1">
        <f t="shared" si="129"/>
        <v>0</v>
      </c>
      <c r="AV840" s="1">
        <f t="shared" si="130"/>
        <v>0</v>
      </c>
      <c r="AW840" s="1">
        <f t="shared" si="131"/>
        <v>0</v>
      </c>
      <c r="AX840" s="1">
        <f t="shared" si="132"/>
        <v>0</v>
      </c>
    </row>
    <row r="841" spans="1:50" s="1" customFormat="1" ht="24.95" customHeight="1" outlineLevel="3" x14ac:dyDescent="0.2">
      <c r="A841" s="26"/>
      <c r="B841" s="27">
        <v>590</v>
      </c>
      <c r="C841" s="27">
        <v>840</v>
      </c>
      <c r="D841" s="27">
        <v>11265</v>
      </c>
      <c r="E841" s="29" t="s">
        <v>2705</v>
      </c>
      <c r="F841" s="29" t="s">
        <v>2706</v>
      </c>
      <c r="G841" s="29" t="s">
        <v>56</v>
      </c>
      <c r="H841" s="29" t="s">
        <v>40</v>
      </c>
      <c r="I841" s="27">
        <v>2020</v>
      </c>
      <c r="J841" s="29" t="s">
        <v>2707</v>
      </c>
      <c r="K841" s="27">
        <v>9785961428841</v>
      </c>
      <c r="L841" s="29" t="s">
        <v>2708</v>
      </c>
      <c r="M841" s="27">
        <v>368</v>
      </c>
      <c r="N841" s="30">
        <v>0.54</v>
      </c>
      <c r="O841" s="27">
        <v>146</v>
      </c>
      <c r="P841" s="27">
        <v>216</v>
      </c>
      <c r="Q841" s="27">
        <v>10</v>
      </c>
      <c r="R841" s="29" t="s">
        <v>43</v>
      </c>
      <c r="S841" s="29"/>
      <c r="T841" s="28">
        <v>2500</v>
      </c>
      <c r="U841" s="29" t="s">
        <v>52</v>
      </c>
      <c r="V841" s="29" t="s">
        <v>45</v>
      </c>
      <c r="W841" s="27">
        <v>10</v>
      </c>
      <c r="X841" s="37" t="str">
        <f>HYPERLINK("https://www.alpinabook.ru/catalog/book-597325","ссылка на книгу")</f>
        <v>ссылка на книгу</v>
      </c>
      <c r="Y841" s="38" t="str">
        <f>HYPERLINK("https://api-enni.alpina.ru/FilePrivilegesApproval/37","https://api-enni.alpina.ru/FilePrivilegesApproval/37")</f>
        <v>https://api-enni.alpina.ru/FilePrivilegesApproval/37</v>
      </c>
      <c r="Z841" s="29"/>
      <c r="AT841" s="1">
        <f t="shared" si="128"/>
        <v>0</v>
      </c>
      <c r="AU841" s="1">
        <f t="shared" si="129"/>
        <v>0</v>
      </c>
      <c r="AV841" s="1">
        <f t="shared" si="130"/>
        <v>0</v>
      </c>
      <c r="AW841" s="1">
        <f t="shared" si="131"/>
        <v>0</v>
      </c>
      <c r="AX841" s="1">
        <f t="shared" si="132"/>
        <v>0</v>
      </c>
    </row>
    <row r="842" spans="1:50" s="1" customFormat="1" ht="24.95" customHeight="1" outlineLevel="3" x14ac:dyDescent="0.2">
      <c r="A842" s="11"/>
      <c r="B842" s="12">
        <v>640</v>
      </c>
      <c r="C842" s="12">
        <v>890</v>
      </c>
      <c r="D842" s="12">
        <v>25804</v>
      </c>
      <c r="E842" s="13" t="s">
        <v>2709</v>
      </c>
      <c r="F842" s="13" t="s">
        <v>2710</v>
      </c>
      <c r="G842" s="13" t="s">
        <v>86</v>
      </c>
      <c r="H842" s="13"/>
      <c r="I842" s="12">
        <v>2024</v>
      </c>
      <c r="J842" s="13" t="s">
        <v>2711</v>
      </c>
      <c r="K842" s="12">
        <v>9785001397113</v>
      </c>
      <c r="L842" s="13" t="s">
        <v>2712</v>
      </c>
      <c r="M842" s="12">
        <v>280</v>
      </c>
      <c r="N842" s="14">
        <v>0.44</v>
      </c>
      <c r="O842" s="12">
        <v>150</v>
      </c>
      <c r="P842" s="12">
        <v>220</v>
      </c>
      <c r="Q842" s="12">
        <v>14</v>
      </c>
      <c r="R842" s="13" t="s">
        <v>43</v>
      </c>
      <c r="S842" s="13"/>
      <c r="T842" s="15">
        <v>1500</v>
      </c>
      <c r="U842" s="13" t="s">
        <v>52</v>
      </c>
      <c r="V842" s="13" t="s">
        <v>59</v>
      </c>
      <c r="W842" s="12">
        <v>10</v>
      </c>
      <c r="X842" s="33" t="str">
        <f>HYPERLINK("https://www.alpinabook.ru/catalog/book-dinozavry-rossii","ссылка на книгу")</f>
        <v>ссылка на книгу</v>
      </c>
      <c r="Y842" s="34" t="str">
        <f>HYPERLINK("https://api-enni.alpina.ru/FilePrivilegesApproval/185","https://api-enni.alpina.ru/FilePrivilegesApproval/185")</f>
        <v>https://api-enni.alpina.ru/FilePrivilegesApproval/185</v>
      </c>
      <c r="Z842" s="13"/>
      <c r="AT842" s="1">
        <f t="shared" si="128"/>
        <v>0</v>
      </c>
      <c r="AU842" s="1">
        <f t="shared" si="129"/>
        <v>0</v>
      </c>
      <c r="AV842" s="1">
        <f t="shared" si="130"/>
        <v>0</v>
      </c>
      <c r="AW842" s="1">
        <f t="shared" si="131"/>
        <v>0</v>
      </c>
      <c r="AX842" s="1">
        <f t="shared" si="132"/>
        <v>0</v>
      </c>
    </row>
    <row r="843" spans="1:50" s="1" customFormat="1" ht="24.95" customHeight="1" outlineLevel="3" x14ac:dyDescent="0.2">
      <c r="A843" s="11"/>
      <c r="B843" s="12">
        <v>340</v>
      </c>
      <c r="C843" s="12">
        <v>540</v>
      </c>
      <c r="D843" s="12">
        <v>28833</v>
      </c>
      <c r="E843" s="13" t="s">
        <v>2713</v>
      </c>
      <c r="F843" s="13" t="s">
        <v>2714</v>
      </c>
      <c r="G843" s="13" t="s">
        <v>86</v>
      </c>
      <c r="H843" s="13"/>
      <c r="I843" s="12">
        <v>2024</v>
      </c>
      <c r="J843" s="13" t="s">
        <v>2715</v>
      </c>
      <c r="K843" s="12">
        <v>9785002230648</v>
      </c>
      <c r="L843" s="13" t="s">
        <v>2716</v>
      </c>
      <c r="M843" s="12">
        <v>368</v>
      </c>
      <c r="N843" s="14">
        <v>0.24</v>
      </c>
      <c r="O843" s="12">
        <v>120</v>
      </c>
      <c r="P843" s="12">
        <v>170</v>
      </c>
      <c r="Q843" s="12">
        <v>16</v>
      </c>
      <c r="R843" s="13" t="s">
        <v>75</v>
      </c>
      <c r="S843" s="13" t="s">
        <v>596</v>
      </c>
      <c r="T843" s="15">
        <v>2000</v>
      </c>
      <c r="U843" s="13" t="s">
        <v>44</v>
      </c>
      <c r="V843" s="13" t="s">
        <v>45</v>
      </c>
      <c r="W843" s="12">
        <v>10</v>
      </c>
      <c r="X843" s="33" t="str">
        <f>HYPERLINK("https://www.alpinabook.ru/catalog/book-dnk-i-ee-chelovek","ссылка на книгу")</f>
        <v>ссылка на книгу</v>
      </c>
      <c r="Y843" s="34" t="str">
        <f>HYPERLINK("https://api-enni.alpina.ru/FilePrivilegesApproval/320","https://api-enni.alpina.ru/FilePrivilegesApproval/320")</f>
        <v>https://api-enni.alpina.ru/FilePrivilegesApproval/320</v>
      </c>
      <c r="Z843" s="13"/>
      <c r="AT843" s="1">
        <f t="shared" si="128"/>
        <v>0</v>
      </c>
      <c r="AU843" s="1">
        <f t="shared" si="129"/>
        <v>0</v>
      </c>
      <c r="AV843" s="1">
        <f t="shared" si="130"/>
        <v>0</v>
      </c>
      <c r="AW843" s="1">
        <f t="shared" si="131"/>
        <v>0</v>
      </c>
      <c r="AX843" s="1">
        <f t="shared" si="132"/>
        <v>0</v>
      </c>
    </row>
    <row r="844" spans="1:50" s="1" customFormat="1" ht="24.95" customHeight="1" outlineLevel="3" x14ac:dyDescent="0.2">
      <c r="A844" s="11"/>
      <c r="B844" s="12">
        <v>680</v>
      </c>
      <c r="C844" s="12">
        <v>890</v>
      </c>
      <c r="D844" s="12">
        <v>7331</v>
      </c>
      <c r="E844" s="13" t="s">
        <v>2717</v>
      </c>
      <c r="F844" s="13" t="s">
        <v>2718</v>
      </c>
      <c r="G844" s="13" t="s">
        <v>86</v>
      </c>
      <c r="H844" s="13" t="s">
        <v>40</v>
      </c>
      <c r="I844" s="12">
        <v>2018</v>
      </c>
      <c r="J844" s="13" t="s">
        <v>2719</v>
      </c>
      <c r="K844" s="12">
        <v>9785916718270</v>
      </c>
      <c r="L844" s="13" t="s">
        <v>2720</v>
      </c>
      <c r="M844" s="12">
        <v>309</v>
      </c>
      <c r="N844" s="14">
        <v>0.51</v>
      </c>
      <c r="O844" s="12">
        <v>143</v>
      </c>
      <c r="P844" s="12">
        <v>210</v>
      </c>
      <c r="Q844" s="12">
        <v>8</v>
      </c>
      <c r="R844" s="13" t="s">
        <v>43</v>
      </c>
      <c r="S844" s="13" t="s">
        <v>2690</v>
      </c>
      <c r="T844" s="15">
        <v>1000</v>
      </c>
      <c r="U844" s="13" t="s">
        <v>44</v>
      </c>
      <c r="V844" s="13" t="s">
        <v>64</v>
      </c>
      <c r="W844" s="12">
        <v>10</v>
      </c>
      <c r="X844" s="33" t="str">
        <f>HYPERLINK("https://www.alpinabook.ru/catalog/book-dusha-osminoga","ссылка на книгу")</f>
        <v>ссылка на книгу</v>
      </c>
      <c r="Y844" s="34" t="str">
        <f>HYPERLINK("https://api-enni.alpina.ru/FilePrivilegesApproval/5","https://api-enni.alpina.ru/FilePrivilegesApproval/5")</f>
        <v>https://api-enni.alpina.ru/FilePrivilegesApproval/5</v>
      </c>
      <c r="Z844" s="13"/>
      <c r="AT844" s="1">
        <f t="shared" si="128"/>
        <v>0</v>
      </c>
      <c r="AU844" s="1">
        <f t="shared" si="129"/>
        <v>0</v>
      </c>
      <c r="AV844" s="1">
        <f t="shared" si="130"/>
        <v>0</v>
      </c>
      <c r="AW844" s="1">
        <f t="shared" si="131"/>
        <v>0</v>
      </c>
      <c r="AX844" s="1">
        <f t="shared" si="132"/>
        <v>0</v>
      </c>
    </row>
    <row r="845" spans="1:50" s="1" customFormat="1" ht="24.95" customHeight="1" outlineLevel="3" x14ac:dyDescent="0.2">
      <c r="A845" s="11"/>
      <c r="B845" s="12">
        <v>390</v>
      </c>
      <c r="C845" s="12">
        <v>590</v>
      </c>
      <c r="D845" s="12">
        <v>27965</v>
      </c>
      <c r="E845" s="13" t="s">
        <v>2721</v>
      </c>
      <c r="F845" s="13" t="s">
        <v>2722</v>
      </c>
      <c r="G845" s="13" t="s">
        <v>86</v>
      </c>
      <c r="H845" s="13"/>
      <c r="I845" s="12">
        <v>2023</v>
      </c>
      <c r="J845" s="13" t="s">
        <v>2723</v>
      </c>
      <c r="K845" s="12">
        <v>9785001399797</v>
      </c>
      <c r="L845" s="13" t="s">
        <v>2724</v>
      </c>
      <c r="M845" s="12">
        <v>416</v>
      </c>
      <c r="N845" s="14">
        <v>0.27</v>
      </c>
      <c r="O845" s="12">
        <v>120</v>
      </c>
      <c r="P845" s="12">
        <v>170</v>
      </c>
      <c r="Q845" s="12">
        <v>14</v>
      </c>
      <c r="R845" s="13" t="s">
        <v>75</v>
      </c>
      <c r="S845" s="13" t="s">
        <v>596</v>
      </c>
      <c r="T845" s="15">
        <v>2000</v>
      </c>
      <c r="U845" s="13" t="s">
        <v>44</v>
      </c>
      <c r="V845" s="13" t="s">
        <v>59</v>
      </c>
      <c r="W845" s="12">
        <v>10</v>
      </c>
      <c r="X845" s="33" t="str">
        <f>HYPERLINK("https://www.alpinabook.ru/catalog/book-evangelie-ot-luca","ссылка на книгу")</f>
        <v>ссылка на книгу</v>
      </c>
      <c r="Y845" s="34" t="str">
        <f>HYPERLINK("https://api-enni.alpina.ru/FilePrivilegesApproval/279","https://api-enni.alpina.ru/FilePrivilegesApproval/279")</f>
        <v>https://api-enni.alpina.ru/FilePrivilegesApproval/279</v>
      </c>
      <c r="Z845" s="13"/>
      <c r="AT845" s="1">
        <f t="shared" si="128"/>
        <v>0</v>
      </c>
      <c r="AU845" s="1">
        <f t="shared" si="129"/>
        <v>0</v>
      </c>
      <c r="AV845" s="1">
        <f t="shared" si="130"/>
        <v>0</v>
      </c>
      <c r="AW845" s="1">
        <f t="shared" si="131"/>
        <v>0</v>
      </c>
      <c r="AX845" s="1">
        <f t="shared" si="132"/>
        <v>0</v>
      </c>
    </row>
    <row r="846" spans="1:50" s="1" customFormat="1" ht="24.95" customHeight="1" outlineLevel="3" x14ac:dyDescent="0.2">
      <c r="A846" s="11"/>
      <c r="B846" s="12">
        <v>340</v>
      </c>
      <c r="C846" s="12">
        <v>540</v>
      </c>
      <c r="D846" s="12">
        <v>27519</v>
      </c>
      <c r="E846" s="13" t="s">
        <v>630</v>
      </c>
      <c r="F846" s="13" t="s">
        <v>2725</v>
      </c>
      <c r="G846" s="13" t="s">
        <v>86</v>
      </c>
      <c r="H846" s="13" t="s">
        <v>40</v>
      </c>
      <c r="I846" s="12">
        <v>2023</v>
      </c>
      <c r="J846" s="13" t="s">
        <v>2726</v>
      </c>
      <c r="K846" s="12">
        <v>9785001398943</v>
      </c>
      <c r="L846" s="13" t="s">
        <v>2727</v>
      </c>
      <c r="M846" s="12">
        <v>512</v>
      </c>
      <c r="N846" s="14">
        <v>0.3</v>
      </c>
      <c r="O846" s="12">
        <v>120</v>
      </c>
      <c r="P846" s="12">
        <v>170</v>
      </c>
      <c r="Q846" s="12">
        <v>10</v>
      </c>
      <c r="R846" s="13" t="s">
        <v>75</v>
      </c>
      <c r="S846" s="13" t="s">
        <v>596</v>
      </c>
      <c r="T846" s="15">
        <v>4000</v>
      </c>
      <c r="U846" s="13" t="s">
        <v>44</v>
      </c>
      <c r="V846" s="13" t="s">
        <v>59</v>
      </c>
      <c r="W846" s="12">
        <v>10</v>
      </c>
      <c r="X846" s="33" t="str">
        <f>HYPERLINK("https://www.alpinabook.ru/catalog/book-zhivoe-i-nezhivoe","ссылка на книгу")</f>
        <v>ссылка на книгу</v>
      </c>
      <c r="Y846" s="34" t="str">
        <f>HYPERLINK("https://api-enni.alpina.ru/FilePrivilegesApproval/145","https://api-enni.alpina.ru/FilePrivilegesApproval/145")</f>
        <v>https://api-enni.alpina.ru/FilePrivilegesApproval/145</v>
      </c>
      <c r="Z846" s="13"/>
      <c r="AT846" s="1">
        <f t="shared" si="128"/>
        <v>0</v>
      </c>
      <c r="AU846" s="1">
        <f t="shared" si="129"/>
        <v>0</v>
      </c>
      <c r="AV846" s="1">
        <f t="shared" si="130"/>
        <v>0</v>
      </c>
      <c r="AW846" s="1">
        <f t="shared" si="131"/>
        <v>0</v>
      </c>
      <c r="AX846" s="1">
        <f t="shared" si="132"/>
        <v>0</v>
      </c>
    </row>
    <row r="847" spans="1:50" s="1" customFormat="1" ht="24.95" customHeight="1" outlineLevel="3" x14ac:dyDescent="0.2">
      <c r="A847" s="11"/>
      <c r="B847" s="12">
        <v>340</v>
      </c>
      <c r="C847" s="12">
        <v>540</v>
      </c>
      <c r="D847" s="12">
        <v>30958</v>
      </c>
      <c r="E847" s="13" t="s">
        <v>2728</v>
      </c>
      <c r="F847" s="13" t="s">
        <v>2729</v>
      </c>
      <c r="G847" s="13" t="s">
        <v>86</v>
      </c>
      <c r="H847" s="13"/>
      <c r="I847" s="12">
        <v>2024</v>
      </c>
      <c r="J847" s="13" t="s">
        <v>2730</v>
      </c>
      <c r="K847" s="12">
        <v>9785002233090</v>
      </c>
      <c r="L847" s="13" t="s">
        <v>2731</v>
      </c>
      <c r="M847" s="12">
        <v>352</v>
      </c>
      <c r="N847" s="14">
        <v>0.23</v>
      </c>
      <c r="O847" s="12">
        <v>120</v>
      </c>
      <c r="P847" s="12">
        <v>170</v>
      </c>
      <c r="Q847" s="12">
        <v>10</v>
      </c>
      <c r="R847" s="13" t="s">
        <v>75</v>
      </c>
      <c r="S847" s="13" t="s">
        <v>596</v>
      </c>
      <c r="T847" s="15">
        <v>4000</v>
      </c>
      <c r="U847" s="13" t="s">
        <v>44</v>
      </c>
      <c r="V847" s="13" t="s">
        <v>59</v>
      </c>
      <c r="W847" s="12">
        <v>10</v>
      </c>
      <c r="X847" s="33" t="str">
        <f>HYPERLINK("https://www.alpinabook.ru/catalog/book-zagadki-sna","ссылка на книгу")</f>
        <v>ссылка на книгу</v>
      </c>
      <c r="Y847" s="34" t="str">
        <f>HYPERLINK("https://api-enni.alpina.ru/FilePrivilegesApproval/126","https://api-enni.alpina.ru/FilePrivilegesApproval/126")</f>
        <v>https://api-enni.alpina.ru/FilePrivilegesApproval/126</v>
      </c>
      <c r="Z847" s="13"/>
      <c r="AT847" s="1">
        <f t="shared" si="128"/>
        <v>0</v>
      </c>
      <c r="AU847" s="1">
        <f t="shared" si="129"/>
        <v>0</v>
      </c>
      <c r="AV847" s="1">
        <f t="shared" si="130"/>
        <v>0</v>
      </c>
      <c r="AW847" s="1">
        <f t="shared" si="131"/>
        <v>0</v>
      </c>
      <c r="AX847" s="1">
        <f t="shared" si="132"/>
        <v>0</v>
      </c>
    </row>
    <row r="848" spans="1:50" s="1" customFormat="1" ht="24.95" customHeight="1" outlineLevel="3" x14ac:dyDescent="0.2">
      <c r="A848" s="11"/>
      <c r="B848" s="12">
        <v>690</v>
      </c>
      <c r="C848" s="12">
        <v>690</v>
      </c>
      <c r="D848" s="12">
        <v>18427</v>
      </c>
      <c r="E848" s="13" t="s">
        <v>2732</v>
      </c>
      <c r="F848" s="13" t="s">
        <v>2733</v>
      </c>
      <c r="G848" s="13" t="s">
        <v>86</v>
      </c>
      <c r="H848" s="13" t="s">
        <v>40</v>
      </c>
      <c r="I848" s="12">
        <v>2022</v>
      </c>
      <c r="J848" s="13" t="s">
        <v>2734</v>
      </c>
      <c r="K848" s="12">
        <v>9785001395645</v>
      </c>
      <c r="L848" s="13" t="s">
        <v>2735</v>
      </c>
      <c r="M848" s="12">
        <v>440</v>
      </c>
      <c r="N848" s="14">
        <v>0.53</v>
      </c>
      <c r="O848" s="12">
        <v>146</v>
      </c>
      <c r="P848" s="12">
        <v>216</v>
      </c>
      <c r="Q848" s="12">
        <v>12</v>
      </c>
      <c r="R848" s="13" t="s">
        <v>43</v>
      </c>
      <c r="S848" s="13"/>
      <c r="T848" s="15">
        <v>3000</v>
      </c>
      <c r="U848" s="13" t="s">
        <v>52</v>
      </c>
      <c r="V848" s="13" t="s">
        <v>59</v>
      </c>
      <c r="W848" s="12">
        <v>10</v>
      </c>
      <c r="X848" s="33" t="str">
        <f>HYPERLINK("https://www.alpinabook.ru/catalog/book-zaklyatyy-vrag","ссылка на книгу")</f>
        <v>ссылка на книгу</v>
      </c>
      <c r="Y848" s="34" t="str">
        <f>HYPERLINK("https://api-enni.alpina.ru/FilePrivilegesApproval/131","https://api-enni.alpina.ru/FilePrivilegesApproval/131")</f>
        <v>https://api-enni.alpina.ru/FilePrivilegesApproval/131</v>
      </c>
      <c r="Z848" s="13"/>
      <c r="AT848" s="1">
        <f t="shared" si="128"/>
        <v>0</v>
      </c>
      <c r="AU848" s="1">
        <f t="shared" si="129"/>
        <v>0</v>
      </c>
      <c r="AV848" s="1">
        <f t="shared" si="130"/>
        <v>0</v>
      </c>
      <c r="AW848" s="1">
        <f t="shared" si="131"/>
        <v>0</v>
      </c>
      <c r="AX848" s="1">
        <f t="shared" si="132"/>
        <v>0</v>
      </c>
    </row>
    <row r="849" spans="1:50" s="1" customFormat="1" ht="24.95" customHeight="1" outlineLevel="3" x14ac:dyDescent="0.2">
      <c r="A849" s="11"/>
      <c r="B849" s="12">
        <v>690</v>
      </c>
      <c r="C849" s="12">
        <v>990</v>
      </c>
      <c r="D849" s="12">
        <v>28916</v>
      </c>
      <c r="E849" s="13" t="s">
        <v>317</v>
      </c>
      <c r="F849" s="13" t="s">
        <v>2736</v>
      </c>
      <c r="G849" s="13" t="s">
        <v>86</v>
      </c>
      <c r="H849" s="13" t="s">
        <v>40</v>
      </c>
      <c r="I849" s="12">
        <v>2025</v>
      </c>
      <c r="J849" s="13" t="s">
        <v>2737</v>
      </c>
      <c r="K849" s="12">
        <v>9785002230846</v>
      </c>
      <c r="L849" s="13" t="s">
        <v>2738</v>
      </c>
      <c r="M849" s="12">
        <v>424</v>
      </c>
      <c r="N849" s="14">
        <v>0.42</v>
      </c>
      <c r="O849" s="12">
        <v>150</v>
      </c>
      <c r="P849" s="12">
        <v>210</v>
      </c>
      <c r="Q849" s="12">
        <v>8</v>
      </c>
      <c r="R849" s="13" t="s">
        <v>43</v>
      </c>
      <c r="S849" s="13"/>
      <c r="T849" s="15">
        <v>1500</v>
      </c>
      <c r="U849" s="13" t="s">
        <v>44</v>
      </c>
      <c r="V849" s="13" t="s">
        <v>59</v>
      </c>
      <c r="W849" s="12">
        <v>10</v>
      </c>
      <c r="X849" s="33" t="str">
        <f>HYPERLINK("https://www.alpinabook.ru/catalog/book-zapiski-primata","ссылка на книгу")</f>
        <v>ссылка на книгу</v>
      </c>
      <c r="Y849" s="34" t="str">
        <f>HYPERLINK("https://api-enni.alpina.ru/FilePrivilegesApproval/149","https://api-enni.alpina.ru/FilePrivilegesApproval/149")</f>
        <v>https://api-enni.alpina.ru/FilePrivilegesApproval/149</v>
      </c>
      <c r="Z849" s="13" t="s">
        <v>865</v>
      </c>
      <c r="AT849" s="1">
        <f t="shared" si="128"/>
        <v>0</v>
      </c>
      <c r="AU849" s="1">
        <f t="shared" si="129"/>
        <v>0</v>
      </c>
      <c r="AV849" s="1">
        <f t="shared" si="130"/>
        <v>0</v>
      </c>
      <c r="AW849" s="1">
        <f t="shared" si="131"/>
        <v>0</v>
      </c>
      <c r="AX849" s="1">
        <f t="shared" si="132"/>
        <v>0</v>
      </c>
    </row>
    <row r="850" spans="1:50" s="1" customFormat="1" ht="24.95" customHeight="1" outlineLevel="3" x14ac:dyDescent="0.2">
      <c r="A850" s="11"/>
      <c r="B850" s="12">
        <v>590</v>
      </c>
      <c r="C850" s="12">
        <v>590</v>
      </c>
      <c r="D850" s="12">
        <v>23253</v>
      </c>
      <c r="E850" s="13" t="s">
        <v>2739</v>
      </c>
      <c r="F850" s="13" t="s">
        <v>2740</v>
      </c>
      <c r="G850" s="13" t="s">
        <v>86</v>
      </c>
      <c r="H850" s="13" t="s">
        <v>40</v>
      </c>
      <c r="I850" s="12">
        <v>2022</v>
      </c>
      <c r="J850" s="13" t="s">
        <v>2741</v>
      </c>
      <c r="K850" s="12">
        <v>9785001394617</v>
      </c>
      <c r="L850" s="13" t="s">
        <v>2742</v>
      </c>
      <c r="M850" s="12">
        <v>308</v>
      </c>
      <c r="N850" s="14">
        <v>0.4</v>
      </c>
      <c r="O850" s="12">
        <v>130</v>
      </c>
      <c r="P850" s="12">
        <v>206</v>
      </c>
      <c r="Q850" s="12">
        <v>14</v>
      </c>
      <c r="R850" s="13" t="s">
        <v>82</v>
      </c>
      <c r="S850" s="13"/>
      <c r="T850" s="15">
        <v>3000</v>
      </c>
      <c r="U850" s="13" t="s">
        <v>52</v>
      </c>
      <c r="V850" s="13" t="s">
        <v>59</v>
      </c>
      <c r="W850" s="12">
        <v>10</v>
      </c>
      <c r="X850" s="33" t="str">
        <f>HYPERLINK("https://www.alpinabook.ru/catalog/book-zachem-my-plavaem","ссылка на книгу")</f>
        <v>ссылка на книгу</v>
      </c>
      <c r="Y850" s="34" t="str">
        <f>HYPERLINK("https://api-enni.alpina.ru/FilePrivilegesApproval/185","https://api-enni.alpina.ru/FilePrivilegesApproval/185")</f>
        <v>https://api-enni.alpina.ru/FilePrivilegesApproval/185</v>
      </c>
      <c r="Z850" s="13"/>
      <c r="AT850" s="1">
        <f t="shared" si="128"/>
        <v>0</v>
      </c>
      <c r="AU850" s="1">
        <f t="shared" si="129"/>
        <v>0</v>
      </c>
      <c r="AV850" s="1">
        <f t="shared" si="130"/>
        <v>0</v>
      </c>
      <c r="AW850" s="1">
        <f t="shared" si="131"/>
        <v>0</v>
      </c>
      <c r="AX850" s="1">
        <f t="shared" si="132"/>
        <v>0</v>
      </c>
    </row>
    <row r="851" spans="1:50" s="1" customFormat="1" ht="24.95" customHeight="1" outlineLevel="3" x14ac:dyDescent="0.2">
      <c r="A851" s="11"/>
      <c r="B851" s="12">
        <v>840</v>
      </c>
      <c r="C851" s="15">
        <v>1190</v>
      </c>
      <c r="D851" s="12">
        <v>27233</v>
      </c>
      <c r="E851" s="13" t="s">
        <v>2743</v>
      </c>
      <c r="F851" s="13" t="s">
        <v>2744</v>
      </c>
      <c r="G851" s="13" t="s">
        <v>86</v>
      </c>
      <c r="H851" s="13" t="s">
        <v>40</v>
      </c>
      <c r="I851" s="12">
        <v>2025</v>
      </c>
      <c r="J851" s="13" t="s">
        <v>2745</v>
      </c>
      <c r="K851" s="12">
        <v>9785001398998</v>
      </c>
      <c r="L851" s="13" t="s">
        <v>2746</v>
      </c>
      <c r="M851" s="12">
        <v>346</v>
      </c>
      <c r="N851" s="14">
        <v>0.43</v>
      </c>
      <c r="O851" s="12">
        <v>150</v>
      </c>
      <c r="P851" s="12">
        <v>210</v>
      </c>
      <c r="Q851" s="12">
        <v>12</v>
      </c>
      <c r="R851" s="13" t="s">
        <v>43</v>
      </c>
      <c r="S851" s="13"/>
      <c r="T851" s="15">
        <v>1500</v>
      </c>
      <c r="U851" s="13" t="s">
        <v>44</v>
      </c>
      <c r="V851" s="13" t="s">
        <v>45</v>
      </c>
      <c r="W851" s="12">
        <v>10</v>
      </c>
      <c r="X851" s="33" t="str">
        <f>HYPERLINK("https://www.alpinabook.ru/catalog/book-illyuziya-sebya","ссылка на книгу")</f>
        <v>ссылка на книгу</v>
      </c>
      <c r="Y851" s="34" t="str">
        <f>HYPERLINK("https://api-enni.alpina.ru/FilePrivilegesApproval/705","https://api-enni.alpina.ru/FilePrivilegesApproval/705")</f>
        <v>https://api-enni.alpina.ru/FilePrivilegesApproval/705</v>
      </c>
      <c r="Z851" s="13" t="s">
        <v>77</v>
      </c>
      <c r="AT851" s="1">
        <f t="shared" si="128"/>
        <v>0</v>
      </c>
      <c r="AU851" s="1">
        <f t="shared" si="129"/>
        <v>0</v>
      </c>
      <c r="AV851" s="1">
        <f t="shared" si="130"/>
        <v>0</v>
      </c>
      <c r="AW851" s="1">
        <f t="shared" si="131"/>
        <v>0</v>
      </c>
      <c r="AX851" s="1">
        <f t="shared" si="132"/>
        <v>0</v>
      </c>
    </row>
    <row r="852" spans="1:50" s="1" customFormat="1" ht="24.95" customHeight="1" outlineLevel="3" x14ac:dyDescent="0.2">
      <c r="A852" s="26"/>
      <c r="B852" s="27">
        <v>790</v>
      </c>
      <c r="C852" s="28">
        <v>1190</v>
      </c>
      <c r="D852" s="27">
        <v>27630</v>
      </c>
      <c r="E852" s="29" t="s">
        <v>2747</v>
      </c>
      <c r="F852" s="29" t="s">
        <v>2748</v>
      </c>
      <c r="G852" s="29" t="s">
        <v>56</v>
      </c>
      <c r="H852" s="29" t="s">
        <v>40</v>
      </c>
      <c r="I852" s="27">
        <v>2024</v>
      </c>
      <c r="J852" s="29" t="s">
        <v>2749</v>
      </c>
      <c r="K852" s="27">
        <v>9785961485462</v>
      </c>
      <c r="L852" s="29" t="s">
        <v>2750</v>
      </c>
      <c r="M852" s="27">
        <v>736</v>
      </c>
      <c r="N852" s="30">
        <v>0.67</v>
      </c>
      <c r="O852" s="27">
        <v>140</v>
      </c>
      <c r="P852" s="27">
        <v>210</v>
      </c>
      <c r="Q852" s="27">
        <v>3</v>
      </c>
      <c r="R852" s="29" t="s">
        <v>43</v>
      </c>
      <c r="S852" s="29"/>
      <c r="T852" s="28">
        <v>1000</v>
      </c>
      <c r="U852" s="29" t="s">
        <v>44</v>
      </c>
      <c r="V852" s="29" t="s">
        <v>45</v>
      </c>
      <c r="W852" s="27">
        <v>10</v>
      </c>
      <c r="X852" s="37" t="str">
        <f>HYPERLINK("https://www.alpinabook.ru/catalog/book-ispanka","ссылка на книгу")</f>
        <v>ссылка на книгу</v>
      </c>
      <c r="Y852" s="38" t="str">
        <f>HYPERLINK("https://api-enni.alpina.ru/FilePrivilegesApproval/102","https://api-enni.alpina.ru/FilePrivilegesApproval/102")</f>
        <v>https://api-enni.alpina.ru/FilePrivilegesApproval/102</v>
      </c>
      <c r="Z852" s="29"/>
      <c r="AT852" s="1">
        <f t="shared" si="128"/>
        <v>0</v>
      </c>
      <c r="AU852" s="1">
        <f t="shared" si="129"/>
        <v>0</v>
      </c>
      <c r="AV852" s="1">
        <f t="shared" si="130"/>
        <v>0</v>
      </c>
      <c r="AW852" s="1">
        <f t="shared" si="131"/>
        <v>0</v>
      </c>
      <c r="AX852" s="1">
        <f t="shared" si="132"/>
        <v>0</v>
      </c>
    </row>
    <row r="853" spans="1:50" s="1" customFormat="1" ht="24.95" customHeight="1" outlineLevel="3" x14ac:dyDescent="0.2">
      <c r="A853" s="11"/>
      <c r="B853" s="12">
        <v>790</v>
      </c>
      <c r="C853" s="15">
        <v>1190</v>
      </c>
      <c r="D853" s="12">
        <v>28951</v>
      </c>
      <c r="E853" s="13" t="s">
        <v>2751</v>
      </c>
      <c r="F853" s="13" t="s">
        <v>2752</v>
      </c>
      <c r="G853" s="13" t="s">
        <v>86</v>
      </c>
      <c r="H853" s="13"/>
      <c r="I853" s="12">
        <v>2025</v>
      </c>
      <c r="J853" s="13" t="s">
        <v>2753</v>
      </c>
      <c r="K853" s="12">
        <v>9785002230822</v>
      </c>
      <c r="L853" s="13" t="s">
        <v>2754</v>
      </c>
      <c r="M853" s="12">
        <v>440</v>
      </c>
      <c r="N853" s="14">
        <v>0.62</v>
      </c>
      <c r="O853" s="12">
        <v>150</v>
      </c>
      <c r="P853" s="12">
        <v>220</v>
      </c>
      <c r="Q853" s="12">
        <v>10</v>
      </c>
      <c r="R853" s="13" t="s">
        <v>43</v>
      </c>
      <c r="S853" s="13"/>
      <c r="T853" s="15">
        <v>3000</v>
      </c>
      <c r="U853" s="13" t="s">
        <v>52</v>
      </c>
      <c r="V853" s="13" t="s">
        <v>59</v>
      </c>
      <c r="W853" s="12">
        <v>10</v>
      </c>
      <c r="X853" s="33" t="str">
        <f>HYPERLINK("https://www.alpinabook.ru/catalog/book-kak-zhivye","ссылка на книгу")</f>
        <v>ссылка на книгу</v>
      </c>
      <c r="Y853" s="34" t="str">
        <f>HYPERLINK("https://api-enni.alpina.ru/FilePrivilegesApproval/407","https://api-enni.alpina.ru/FilePrivilegesApproval/407")</f>
        <v>https://api-enni.alpina.ru/FilePrivilegesApproval/407</v>
      </c>
      <c r="Z853" s="13" t="s">
        <v>1406</v>
      </c>
      <c r="AT853" s="1">
        <f t="shared" si="128"/>
        <v>0</v>
      </c>
      <c r="AU853" s="1">
        <f t="shared" si="129"/>
        <v>0</v>
      </c>
      <c r="AV853" s="1">
        <f t="shared" si="130"/>
        <v>0</v>
      </c>
      <c r="AW853" s="1">
        <f t="shared" si="131"/>
        <v>0</v>
      </c>
      <c r="AX853" s="1">
        <f t="shared" si="132"/>
        <v>0</v>
      </c>
    </row>
    <row r="854" spans="1:50" s="1" customFormat="1" ht="24.95" customHeight="1" outlineLevel="3" x14ac:dyDescent="0.2">
      <c r="A854" s="11"/>
      <c r="B854" s="12">
        <v>690</v>
      </c>
      <c r="C854" s="12">
        <v>690</v>
      </c>
      <c r="D854" s="12">
        <v>12541</v>
      </c>
      <c r="E854" s="13" t="s">
        <v>2755</v>
      </c>
      <c r="F854" s="13" t="s">
        <v>2756</v>
      </c>
      <c r="G854" s="13" t="s">
        <v>56</v>
      </c>
      <c r="H854" s="13" t="s">
        <v>40</v>
      </c>
      <c r="I854" s="12">
        <v>2021</v>
      </c>
      <c r="J854" s="13" t="s">
        <v>2757</v>
      </c>
      <c r="K854" s="12">
        <v>9785961472486</v>
      </c>
      <c r="L854" s="13" t="s">
        <v>2758</v>
      </c>
      <c r="M854" s="12">
        <v>304</v>
      </c>
      <c r="N854" s="14">
        <v>0.47</v>
      </c>
      <c r="O854" s="12">
        <v>146</v>
      </c>
      <c r="P854" s="12">
        <v>216</v>
      </c>
      <c r="Q854" s="12">
        <v>12</v>
      </c>
      <c r="R854" s="13" t="s">
        <v>43</v>
      </c>
      <c r="S854" s="13"/>
      <c r="T854" s="15">
        <v>2000</v>
      </c>
      <c r="U854" s="13" t="s">
        <v>52</v>
      </c>
      <c r="V854" s="13" t="s">
        <v>59</v>
      </c>
      <c r="W854" s="12">
        <v>10</v>
      </c>
      <c r="X854" s="33" t="str">
        <f>HYPERLINK("https://www.alpinabook.ru/catalog/book-kak-my-vidim","ссылка на книгу")</f>
        <v>ссылка на книгу</v>
      </c>
      <c r="Y854" s="34" t="str">
        <f>HYPERLINK("https://api-enni.alpina.ru/FilePrivilegesApproval/124","https://api-enni.alpina.ru/FilePrivilegesApproval/124")</f>
        <v>https://api-enni.alpina.ru/FilePrivilegesApproval/124</v>
      </c>
      <c r="Z854" s="13"/>
      <c r="AT854" s="1">
        <f t="shared" si="128"/>
        <v>0</v>
      </c>
      <c r="AU854" s="1">
        <f t="shared" si="129"/>
        <v>0</v>
      </c>
      <c r="AV854" s="1">
        <f t="shared" si="130"/>
        <v>0</v>
      </c>
      <c r="AW854" s="1">
        <f t="shared" si="131"/>
        <v>0</v>
      </c>
      <c r="AX854" s="1">
        <f t="shared" si="132"/>
        <v>0</v>
      </c>
    </row>
    <row r="855" spans="1:50" s="1" customFormat="1" ht="24.95" customHeight="1" outlineLevel="3" x14ac:dyDescent="0.2">
      <c r="A855" s="11"/>
      <c r="B855" s="12">
        <v>490</v>
      </c>
      <c r="C855" s="12">
        <v>740</v>
      </c>
      <c r="D855" s="12">
        <v>17475</v>
      </c>
      <c r="E855" s="13" t="s">
        <v>2341</v>
      </c>
      <c r="F855" s="13" t="s">
        <v>2759</v>
      </c>
      <c r="G855" s="13" t="s">
        <v>56</v>
      </c>
      <c r="H855" s="13"/>
      <c r="I855" s="12">
        <v>2025</v>
      </c>
      <c r="J855" s="13" t="s">
        <v>2760</v>
      </c>
      <c r="K855" s="12">
        <v>9785961436068</v>
      </c>
      <c r="L855" s="13" t="s">
        <v>2761</v>
      </c>
      <c r="M855" s="12">
        <v>144</v>
      </c>
      <c r="N855" s="14">
        <v>0.3</v>
      </c>
      <c r="O855" s="12">
        <v>145</v>
      </c>
      <c r="P855" s="12">
        <v>203</v>
      </c>
      <c r="Q855" s="12">
        <v>12</v>
      </c>
      <c r="R855" s="13" t="s">
        <v>43</v>
      </c>
      <c r="S855" s="13"/>
      <c r="T855" s="15">
        <v>1500</v>
      </c>
      <c r="U855" s="13" t="s">
        <v>52</v>
      </c>
      <c r="V855" s="13" t="s">
        <v>45</v>
      </c>
      <c r="W855" s="12">
        <v>10</v>
      </c>
      <c r="X855" s="33" t="str">
        <f>HYPERLINK("https://www.alpinabook.ru/catalog/book-kak-ne-umeret-molodym","ссылка на книгу")</f>
        <v>ссылка на книгу</v>
      </c>
      <c r="Y855" s="34" t="str">
        <f>HYPERLINK("https://api-enni.alpina.ru/FilePrivilegesApproval/73","https://api-enni.alpina.ru/FilePrivilegesApproval/73")</f>
        <v>https://api-enni.alpina.ru/FilePrivilegesApproval/73</v>
      </c>
      <c r="Z855" s="13"/>
      <c r="AT855" s="1">
        <f t="shared" si="128"/>
        <v>0</v>
      </c>
      <c r="AU855" s="1">
        <f t="shared" si="129"/>
        <v>0</v>
      </c>
      <c r="AV855" s="1">
        <f t="shared" si="130"/>
        <v>0</v>
      </c>
      <c r="AW855" s="1">
        <f t="shared" si="131"/>
        <v>0</v>
      </c>
      <c r="AX855" s="1">
        <f t="shared" si="132"/>
        <v>0</v>
      </c>
    </row>
    <row r="856" spans="1:50" s="1" customFormat="1" ht="24.95" customHeight="1" outlineLevel="3" x14ac:dyDescent="0.2">
      <c r="A856" s="11"/>
      <c r="B856" s="12">
        <v>690</v>
      </c>
      <c r="C856" s="12">
        <v>990</v>
      </c>
      <c r="D856" s="12">
        <v>24202</v>
      </c>
      <c r="E856" s="13" t="s">
        <v>2762</v>
      </c>
      <c r="F856" s="13" t="s">
        <v>2763</v>
      </c>
      <c r="G856" s="13" t="s">
        <v>86</v>
      </c>
      <c r="H856" s="13" t="s">
        <v>40</v>
      </c>
      <c r="I856" s="12">
        <v>2025</v>
      </c>
      <c r="J856" s="13" t="s">
        <v>2764</v>
      </c>
      <c r="K856" s="12">
        <v>9785002232567</v>
      </c>
      <c r="L856" s="13" t="s">
        <v>2765</v>
      </c>
      <c r="M856" s="12">
        <v>282</v>
      </c>
      <c r="N856" s="14">
        <v>0.44</v>
      </c>
      <c r="O856" s="12">
        <v>150</v>
      </c>
      <c r="P856" s="12">
        <v>220</v>
      </c>
      <c r="Q856" s="12">
        <v>12</v>
      </c>
      <c r="R856" s="13" t="s">
        <v>43</v>
      </c>
      <c r="S856" s="13"/>
      <c r="T856" s="15">
        <v>1500</v>
      </c>
      <c r="U856" s="13" t="s">
        <v>52</v>
      </c>
      <c r="V856" s="13" t="s">
        <v>59</v>
      </c>
      <c r="W856" s="12">
        <v>10</v>
      </c>
      <c r="X856" s="33" t="str">
        <f>HYPERLINK("https://www.alpinabook.ru/catalog/book-kak-umirali-dinozavry","ссылка на книгу")</f>
        <v>ссылка на книгу</v>
      </c>
      <c r="Y856" s="34" t="str">
        <f>HYPERLINK("https://api-enni.alpina.ru/FilePrivilegesApproval/386","https://api-enni.alpina.ru/FilePrivilegesApproval/386")</f>
        <v>https://api-enni.alpina.ru/FilePrivilegesApproval/386</v>
      </c>
      <c r="Z856" s="13"/>
      <c r="AT856" s="1">
        <f t="shared" si="128"/>
        <v>0</v>
      </c>
      <c r="AU856" s="1">
        <f t="shared" si="129"/>
        <v>0</v>
      </c>
      <c r="AV856" s="1">
        <f t="shared" si="130"/>
        <v>0</v>
      </c>
      <c r="AW856" s="1">
        <f t="shared" si="131"/>
        <v>0</v>
      </c>
      <c r="AX856" s="1">
        <f t="shared" si="132"/>
        <v>0</v>
      </c>
    </row>
    <row r="857" spans="1:50" s="1" customFormat="1" ht="24.95" customHeight="1" outlineLevel="3" x14ac:dyDescent="0.2">
      <c r="A857" s="11"/>
      <c r="B857" s="12">
        <v>360</v>
      </c>
      <c r="C857" s="12">
        <v>640</v>
      </c>
      <c r="D857" s="12">
        <v>30642</v>
      </c>
      <c r="E857" s="13" t="s">
        <v>2766</v>
      </c>
      <c r="F857" s="13" t="s">
        <v>2767</v>
      </c>
      <c r="G857" s="13" t="s">
        <v>86</v>
      </c>
      <c r="H857" s="13"/>
      <c r="I857" s="12">
        <v>2024</v>
      </c>
      <c r="J857" s="13" t="s">
        <v>2768</v>
      </c>
      <c r="K857" s="12">
        <v>9785002232710</v>
      </c>
      <c r="L857" s="13" t="s">
        <v>2769</v>
      </c>
      <c r="M857" s="12">
        <v>656</v>
      </c>
      <c r="N857" s="14">
        <v>0.42</v>
      </c>
      <c r="O857" s="12">
        <v>120</v>
      </c>
      <c r="P857" s="12">
        <v>170</v>
      </c>
      <c r="Q857" s="12">
        <v>10</v>
      </c>
      <c r="R857" s="13" t="s">
        <v>75</v>
      </c>
      <c r="S857" s="13" t="s">
        <v>596</v>
      </c>
      <c r="T857" s="15">
        <v>2000</v>
      </c>
      <c r="U857" s="13" t="s">
        <v>44</v>
      </c>
      <c r="V857" s="13" t="s">
        <v>59</v>
      </c>
      <c r="W857" s="12">
        <v>10</v>
      </c>
      <c r="X857" s="33" t="str">
        <f>HYPERLINK("https://www.alpinabook.ru/catalog/book-karnaval-molekul","ссылка на книгу")</f>
        <v>ссылка на книгу</v>
      </c>
      <c r="Y857" s="34" t="str">
        <f>HYPERLINK("https://api-enni.alpina.ru/FilePrivilegesApproval/185","https://api-enni.alpina.ru/FilePrivilegesApproval/185")</f>
        <v>https://api-enni.alpina.ru/FilePrivilegesApproval/185</v>
      </c>
      <c r="Z857" s="13"/>
      <c r="AT857" s="1">
        <f t="shared" si="128"/>
        <v>0</v>
      </c>
      <c r="AU857" s="1">
        <f t="shared" si="129"/>
        <v>0</v>
      </c>
      <c r="AV857" s="1">
        <f t="shared" si="130"/>
        <v>0</v>
      </c>
      <c r="AW857" s="1">
        <f t="shared" si="131"/>
        <v>0</v>
      </c>
      <c r="AX857" s="1">
        <f t="shared" si="132"/>
        <v>0</v>
      </c>
    </row>
    <row r="858" spans="1:50" s="1" customFormat="1" ht="24.95" customHeight="1" outlineLevel="3" x14ac:dyDescent="0.2">
      <c r="A858" s="11"/>
      <c r="B858" s="15">
        <v>1190</v>
      </c>
      <c r="C858" s="15">
        <v>1690</v>
      </c>
      <c r="D858" s="12">
        <v>23432</v>
      </c>
      <c r="E858" s="13" t="s">
        <v>2770</v>
      </c>
      <c r="F858" s="13" t="s">
        <v>2771</v>
      </c>
      <c r="G858" s="13" t="s">
        <v>86</v>
      </c>
      <c r="H858" s="13" t="s">
        <v>40</v>
      </c>
      <c r="I858" s="12">
        <v>2025</v>
      </c>
      <c r="J858" s="13" t="s">
        <v>2772</v>
      </c>
      <c r="K858" s="12">
        <v>9785001395157</v>
      </c>
      <c r="L858" s="13" t="s">
        <v>2773</v>
      </c>
      <c r="M858" s="12">
        <v>280</v>
      </c>
      <c r="N858" s="14">
        <v>0.93</v>
      </c>
      <c r="O858" s="12">
        <v>210</v>
      </c>
      <c r="P858" s="12">
        <v>270</v>
      </c>
      <c r="Q858" s="12">
        <v>5</v>
      </c>
      <c r="R858" s="13" t="s">
        <v>300</v>
      </c>
      <c r="S858" s="13"/>
      <c r="T858" s="15">
        <v>2000</v>
      </c>
      <c r="U858" s="13" t="s">
        <v>52</v>
      </c>
      <c r="V858" s="13" t="s">
        <v>59</v>
      </c>
      <c r="W858" s="12">
        <v>10</v>
      </c>
      <c r="X858" s="33" t="str">
        <f>HYPERLINK("https://www.alpinabook.ru/catalog/book-konets-megafauny","ссылка на книгу")</f>
        <v>ссылка на книгу</v>
      </c>
      <c r="Y858" s="34" t="str">
        <f>HYPERLINK("https://api-enni.alpina.ru/FilePrivilegesApproval/763","https://api-enni.alpina.ru/FilePrivilegesApproval/763")</f>
        <v>https://api-enni.alpina.ru/FilePrivilegesApproval/763</v>
      </c>
      <c r="Z858" s="13" t="s">
        <v>567</v>
      </c>
      <c r="AT858" s="1">
        <f t="shared" si="128"/>
        <v>0</v>
      </c>
      <c r="AU858" s="1">
        <f t="shared" si="129"/>
        <v>0</v>
      </c>
      <c r="AV858" s="1">
        <f t="shared" si="130"/>
        <v>0</v>
      </c>
      <c r="AW858" s="1">
        <f t="shared" si="131"/>
        <v>0</v>
      </c>
      <c r="AX858" s="1">
        <f t="shared" si="132"/>
        <v>0</v>
      </c>
    </row>
    <row r="859" spans="1:50" s="1" customFormat="1" ht="24.95" customHeight="1" outlineLevel="3" x14ac:dyDescent="0.2">
      <c r="A859" s="11"/>
      <c r="B859" s="12">
        <v>790</v>
      </c>
      <c r="C859" s="15">
        <v>1190</v>
      </c>
      <c r="D859" s="12">
        <v>27751</v>
      </c>
      <c r="E859" s="13" t="s">
        <v>497</v>
      </c>
      <c r="F859" s="13" t="s">
        <v>498</v>
      </c>
      <c r="G859" s="13" t="s">
        <v>86</v>
      </c>
      <c r="H859" s="13"/>
      <c r="I859" s="12">
        <v>2025</v>
      </c>
      <c r="J859" s="13" t="s">
        <v>499</v>
      </c>
      <c r="K859" s="12">
        <v>9785001399568</v>
      </c>
      <c r="L859" s="13" t="s">
        <v>500</v>
      </c>
      <c r="M859" s="12">
        <v>454</v>
      </c>
      <c r="N859" s="14">
        <v>0.56000000000000005</v>
      </c>
      <c r="O859" s="12">
        <v>140</v>
      </c>
      <c r="P859" s="12">
        <v>210</v>
      </c>
      <c r="Q859" s="12">
        <v>6</v>
      </c>
      <c r="R859" s="13" t="s">
        <v>43</v>
      </c>
      <c r="S859" s="13"/>
      <c r="T859" s="15">
        <v>1000</v>
      </c>
      <c r="U859" s="13" t="s">
        <v>44</v>
      </c>
      <c r="V859" s="13" t="s">
        <v>45</v>
      </c>
      <c r="W859" s="12">
        <v>10</v>
      </c>
      <c r="X859" s="33" t="str">
        <f>HYPERLINK("https://www.alpinabook.ru/catalog/book-kratkaya-istoriya-nasekomykh","ссылка на книгу")</f>
        <v>ссылка на книгу</v>
      </c>
      <c r="Y859" s="34" t="str">
        <f>HYPERLINK("https://api-enni.alpina.ru/FilePrivilegesApproval/190","https://api-enni.alpina.ru/FilePrivilegesApproval/190")</f>
        <v>https://api-enni.alpina.ru/FilePrivilegesApproval/190</v>
      </c>
      <c r="Z859" s="13" t="s">
        <v>431</v>
      </c>
      <c r="AT859" s="1">
        <f t="shared" si="128"/>
        <v>0</v>
      </c>
      <c r="AU859" s="1">
        <f t="shared" si="129"/>
        <v>0</v>
      </c>
      <c r="AV859" s="1">
        <f t="shared" si="130"/>
        <v>0</v>
      </c>
      <c r="AW859" s="1">
        <f t="shared" si="131"/>
        <v>0</v>
      </c>
      <c r="AX859" s="1">
        <f t="shared" si="132"/>
        <v>0</v>
      </c>
    </row>
    <row r="860" spans="1:50" s="1" customFormat="1" ht="24.95" customHeight="1" outlineLevel="3" x14ac:dyDescent="0.2">
      <c r="A860" s="11"/>
      <c r="B860" s="12">
        <v>640</v>
      </c>
      <c r="C860" s="12">
        <v>940</v>
      </c>
      <c r="D860" s="12">
        <v>7095</v>
      </c>
      <c r="E860" s="13" t="s">
        <v>2774</v>
      </c>
      <c r="F860" s="13" t="s">
        <v>2775</v>
      </c>
      <c r="G860" s="13" t="s">
        <v>86</v>
      </c>
      <c r="H860" s="13"/>
      <c r="I860" s="12">
        <v>2025</v>
      </c>
      <c r="J860" s="13" t="s">
        <v>2776</v>
      </c>
      <c r="K860" s="12">
        <v>9785001391098</v>
      </c>
      <c r="L860" s="13" t="s">
        <v>2777</v>
      </c>
      <c r="M860" s="12">
        <v>312</v>
      </c>
      <c r="N860" s="14">
        <v>0.47</v>
      </c>
      <c r="O860" s="12">
        <v>150</v>
      </c>
      <c r="P860" s="12">
        <v>220</v>
      </c>
      <c r="Q860" s="12">
        <v>6</v>
      </c>
      <c r="R860" s="13" t="s">
        <v>43</v>
      </c>
      <c r="S860" s="13"/>
      <c r="T860" s="15">
        <v>1000</v>
      </c>
      <c r="U860" s="13" t="s">
        <v>52</v>
      </c>
      <c r="V860" s="13" t="s">
        <v>45</v>
      </c>
      <c r="W860" s="12">
        <v>10</v>
      </c>
      <c r="X860" s="33" t="str">
        <f>HYPERLINK("https://www.alpinabook.ru/catalog/book-krivoe-zerkalo-zhizni","ссылка на книгу")</f>
        <v>ссылка на книгу</v>
      </c>
      <c r="Y860" s="34" t="str">
        <f>HYPERLINK("https://api-enni.alpina.ru/FilePrivilegesApproval/14","https://api-enni.alpina.ru/FilePrivilegesApproval/14")</f>
        <v>https://api-enni.alpina.ru/FilePrivilegesApproval/14</v>
      </c>
      <c r="Z860" s="13"/>
      <c r="AT860" s="1">
        <f t="shared" si="128"/>
        <v>0</v>
      </c>
      <c r="AU860" s="1">
        <f t="shared" si="129"/>
        <v>0</v>
      </c>
      <c r="AV860" s="1">
        <f t="shared" si="130"/>
        <v>0</v>
      </c>
      <c r="AW860" s="1">
        <f t="shared" si="131"/>
        <v>0</v>
      </c>
      <c r="AX860" s="1">
        <f t="shared" si="132"/>
        <v>0</v>
      </c>
    </row>
    <row r="861" spans="1:50" s="1" customFormat="1" ht="24.95" customHeight="1" outlineLevel="3" x14ac:dyDescent="0.2">
      <c r="A861" s="26"/>
      <c r="B861" s="27">
        <v>690</v>
      </c>
      <c r="C861" s="27">
        <v>690</v>
      </c>
      <c r="D861" s="27">
        <v>17993</v>
      </c>
      <c r="E861" s="29" t="s">
        <v>2778</v>
      </c>
      <c r="F861" s="29" t="s">
        <v>2779</v>
      </c>
      <c r="G861" s="29" t="s">
        <v>86</v>
      </c>
      <c r="H861" s="29" t="s">
        <v>40</v>
      </c>
      <c r="I861" s="27">
        <v>2021</v>
      </c>
      <c r="J861" s="29" t="s">
        <v>2780</v>
      </c>
      <c r="K861" s="27">
        <v>9785001390206</v>
      </c>
      <c r="L861" s="29" t="s">
        <v>2781</v>
      </c>
      <c r="M861" s="27">
        <v>458</v>
      </c>
      <c r="N861" s="30">
        <v>0.63</v>
      </c>
      <c r="O861" s="27">
        <v>146</v>
      </c>
      <c r="P861" s="27">
        <v>216</v>
      </c>
      <c r="Q861" s="27">
        <v>8</v>
      </c>
      <c r="R861" s="29" t="s">
        <v>43</v>
      </c>
      <c r="S861" s="29"/>
      <c r="T861" s="28">
        <v>3000</v>
      </c>
      <c r="U861" s="29" t="s">
        <v>52</v>
      </c>
      <c r="V861" s="29" t="s">
        <v>64</v>
      </c>
      <c r="W861" s="27">
        <v>10</v>
      </c>
      <c r="X861" s="37" t="str">
        <f>HYPERLINK("https://www.alpinabook.ru/catalog/book-704073","ссылка на книгу")</f>
        <v>ссылка на книгу</v>
      </c>
      <c r="Y861" s="38" t="str">
        <f>HYPERLINK("https://api-enni.alpina.ru/FilePrivilegesApproval/208","https://api-enni.alpina.ru/FilePrivilegesApproval/208")</f>
        <v>https://api-enni.alpina.ru/FilePrivilegesApproval/208</v>
      </c>
      <c r="Z861" s="29"/>
      <c r="AT861" s="1">
        <f t="shared" ref="AT861:AT892" si="133">IF($A861&lt;&gt;0,1,0)</f>
        <v>0</v>
      </c>
      <c r="AU861" s="1">
        <f t="shared" ref="AU861:AU892" si="134">$A861*$B861</f>
        <v>0</v>
      </c>
      <c r="AV861" s="1">
        <f t="shared" ref="AV861:AV892" si="135">$A861*$N861</f>
        <v>0</v>
      </c>
      <c r="AW861" s="1">
        <f t="shared" ref="AW861:AW892" si="136">IF($Q861=0,0,INT($A861/$Q861))</f>
        <v>0</v>
      </c>
      <c r="AX861" s="1">
        <f t="shared" ref="AX861:AX892" si="137">$A861-$AW861*$Q861</f>
        <v>0</v>
      </c>
    </row>
    <row r="862" spans="1:50" s="1" customFormat="1" ht="24.95" customHeight="1" outlineLevel="3" x14ac:dyDescent="0.2">
      <c r="A862" s="11"/>
      <c r="B862" s="12">
        <v>690</v>
      </c>
      <c r="C862" s="12">
        <v>740</v>
      </c>
      <c r="D862" s="12">
        <v>18025</v>
      </c>
      <c r="E862" s="13" t="s">
        <v>2766</v>
      </c>
      <c r="F862" s="13" t="s">
        <v>2782</v>
      </c>
      <c r="G862" s="13" t="s">
        <v>86</v>
      </c>
      <c r="H862" s="13"/>
      <c r="I862" s="12">
        <v>2022</v>
      </c>
      <c r="J862" s="13" t="s">
        <v>2783</v>
      </c>
      <c r="K862" s="12">
        <v>9785001395607</v>
      </c>
      <c r="L862" s="13" t="s">
        <v>2784</v>
      </c>
      <c r="M862" s="12">
        <v>352</v>
      </c>
      <c r="N862" s="14">
        <v>0.5</v>
      </c>
      <c r="O862" s="12">
        <v>146</v>
      </c>
      <c r="P862" s="12">
        <v>216</v>
      </c>
      <c r="Q862" s="12">
        <v>8</v>
      </c>
      <c r="R862" s="13" t="s">
        <v>43</v>
      </c>
      <c r="S862" s="13" t="s">
        <v>2618</v>
      </c>
      <c r="T862" s="15">
        <v>1500</v>
      </c>
      <c r="U862" s="13" t="s">
        <v>52</v>
      </c>
      <c r="V862" s="13" t="s">
        <v>59</v>
      </c>
      <c r="W862" s="12">
        <v>10</v>
      </c>
      <c r="X862" s="33" t="str">
        <f>HYPERLINK("https://www.alpinabook.ru/catalog/book-laboratoria-himicheskih-istoriy","ссылка на книгу")</f>
        <v>ссылка на книгу</v>
      </c>
      <c r="Y862" s="34" t="str">
        <f>HYPERLINK("https://api-enni.alpina.ru/FilePrivilegesApproval/179","https://api-enni.alpina.ru/FilePrivilegesApproval/179")</f>
        <v>https://api-enni.alpina.ru/FilePrivilegesApproval/179</v>
      </c>
      <c r="Z862" s="13"/>
      <c r="AT862" s="1">
        <f t="shared" si="133"/>
        <v>0</v>
      </c>
      <c r="AU862" s="1">
        <f t="shared" si="134"/>
        <v>0</v>
      </c>
      <c r="AV862" s="1">
        <f t="shared" si="135"/>
        <v>0</v>
      </c>
      <c r="AW862" s="1">
        <f t="shared" si="136"/>
        <v>0</v>
      </c>
      <c r="AX862" s="1">
        <f t="shared" si="137"/>
        <v>0</v>
      </c>
    </row>
    <row r="863" spans="1:50" s="1" customFormat="1" ht="24.95" customHeight="1" outlineLevel="3" x14ac:dyDescent="0.2">
      <c r="A863" s="11"/>
      <c r="B863" s="12">
        <v>360</v>
      </c>
      <c r="C863" s="12">
        <v>590</v>
      </c>
      <c r="D863" s="12">
        <v>29697</v>
      </c>
      <c r="E863" s="13" t="s">
        <v>2785</v>
      </c>
      <c r="F863" s="13" t="s">
        <v>2786</v>
      </c>
      <c r="G863" s="13" t="s">
        <v>86</v>
      </c>
      <c r="H863" s="13"/>
      <c r="I863" s="12">
        <v>2025</v>
      </c>
      <c r="J863" s="13" t="s">
        <v>2787</v>
      </c>
      <c r="K863" s="12">
        <v>9785002231683</v>
      </c>
      <c r="L863" s="13" t="s">
        <v>2788</v>
      </c>
      <c r="M863" s="12">
        <v>352</v>
      </c>
      <c r="N863" s="14">
        <v>0.23</v>
      </c>
      <c r="O863" s="12">
        <v>120</v>
      </c>
      <c r="P863" s="12">
        <v>170</v>
      </c>
      <c r="Q863" s="12">
        <v>16</v>
      </c>
      <c r="R863" s="13" t="s">
        <v>75</v>
      </c>
      <c r="S863" s="13" t="s">
        <v>596</v>
      </c>
      <c r="T863" s="15">
        <v>2000</v>
      </c>
      <c r="U863" s="13" t="s">
        <v>44</v>
      </c>
      <c r="V863" s="13" t="s">
        <v>45</v>
      </c>
      <c r="W863" s="12">
        <v>10</v>
      </c>
      <c r="X863" s="33" t="str">
        <f>HYPERLINK("https://www.alpinabook.ru/catalog/book-legko-li-plyt-v-sirope","ссылка на книгу")</f>
        <v>ссылка на книгу</v>
      </c>
      <c r="Y863" s="34" t="str">
        <f>HYPERLINK("https://api-enni.alpina.ru/FilePrivilegesApproval/226","https://api-enni.alpina.ru/FilePrivilegesApproval/226")</f>
        <v>https://api-enni.alpina.ru/FilePrivilegesApproval/226</v>
      </c>
      <c r="Z863" s="13" t="s">
        <v>775</v>
      </c>
      <c r="AT863" s="1">
        <f t="shared" si="133"/>
        <v>0</v>
      </c>
      <c r="AU863" s="1">
        <f t="shared" si="134"/>
        <v>0</v>
      </c>
      <c r="AV863" s="1">
        <f t="shared" si="135"/>
        <v>0</v>
      </c>
      <c r="AW863" s="1">
        <f t="shared" si="136"/>
        <v>0</v>
      </c>
      <c r="AX863" s="1">
        <f t="shared" si="137"/>
        <v>0</v>
      </c>
    </row>
    <row r="864" spans="1:50" s="1" customFormat="1" ht="24.95" customHeight="1" outlineLevel="3" x14ac:dyDescent="0.2">
      <c r="A864" s="11"/>
      <c r="B864" s="12">
        <v>690</v>
      </c>
      <c r="C864" s="12">
        <v>790</v>
      </c>
      <c r="D864" s="12">
        <v>21048</v>
      </c>
      <c r="E864" s="13" t="s">
        <v>2789</v>
      </c>
      <c r="F864" s="13" t="s">
        <v>2790</v>
      </c>
      <c r="G864" s="13" t="s">
        <v>86</v>
      </c>
      <c r="H864" s="13" t="s">
        <v>40</v>
      </c>
      <c r="I864" s="12">
        <v>2022</v>
      </c>
      <c r="J864" s="13" t="s">
        <v>2791</v>
      </c>
      <c r="K864" s="12">
        <v>9785001394051</v>
      </c>
      <c r="L864" s="13" t="s">
        <v>2792</v>
      </c>
      <c r="M864" s="12">
        <v>312</v>
      </c>
      <c r="N864" s="14">
        <v>0.47</v>
      </c>
      <c r="O864" s="12">
        <v>146</v>
      </c>
      <c r="P864" s="12">
        <v>216</v>
      </c>
      <c r="Q864" s="12">
        <v>12</v>
      </c>
      <c r="R864" s="13" t="s">
        <v>43</v>
      </c>
      <c r="S864" s="13"/>
      <c r="T864" s="15">
        <v>2500</v>
      </c>
      <c r="U864" s="13" t="s">
        <v>52</v>
      </c>
      <c r="V864" s="13" t="s">
        <v>59</v>
      </c>
      <c r="W864" s="12">
        <v>10</v>
      </c>
      <c r="X864" s="33" t="str">
        <f>HYPERLINK("https://www.alpinabook.ru/catalog/book-malchik-kotoryy-ne-perestaval-rasti","ссылка на книгу")</f>
        <v>ссылка на книгу</v>
      </c>
      <c r="Y864" s="34" t="str">
        <f>HYPERLINK("https://api-enni.alpina.ru/FilePrivilegesApproval/179","https://api-enni.alpina.ru/FilePrivilegesApproval/179")</f>
        <v>https://api-enni.alpina.ru/FilePrivilegesApproval/179</v>
      </c>
      <c r="Z864" s="13"/>
      <c r="AT864" s="1">
        <f t="shared" si="133"/>
        <v>0</v>
      </c>
      <c r="AU864" s="1">
        <f t="shared" si="134"/>
        <v>0</v>
      </c>
      <c r="AV864" s="1">
        <f t="shared" si="135"/>
        <v>0</v>
      </c>
      <c r="AW864" s="1">
        <f t="shared" si="136"/>
        <v>0</v>
      </c>
      <c r="AX864" s="1">
        <f t="shared" si="137"/>
        <v>0</v>
      </c>
    </row>
    <row r="865" spans="1:50" s="1" customFormat="1" ht="24.95" customHeight="1" outlineLevel="3" x14ac:dyDescent="0.2">
      <c r="A865" s="11"/>
      <c r="B865" s="12">
        <v>740</v>
      </c>
      <c r="C865" s="15">
        <v>1090</v>
      </c>
      <c r="D865" s="12">
        <v>25180</v>
      </c>
      <c r="E865" s="13" t="s">
        <v>2793</v>
      </c>
      <c r="F865" s="13" t="s">
        <v>2794</v>
      </c>
      <c r="G865" s="13" t="s">
        <v>86</v>
      </c>
      <c r="H865" s="13" t="s">
        <v>40</v>
      </c>
      <c r="I865" s="12">
        <v>2024</v>
      </c>
      <c r="J865" s="13" t="s">
        <v>2795</v>
      </c>
      <c r="K865" s="12">
        <v>9785001396482</v>
      </c>
      <c r="L865" s="13" t="s">
        <v>2796</v>
      </c>
      <c r="M865" s="12">
        <v>472</v>
      </c>
      <c r="N865" s="14">
        <v>0.68</v>
      </c>
      <c r="O865" s="12">
        <v>150</v>
      </c>
      <c r="P865" s="12">
        <v>220</v>
      </c>
      <c r="Q865" s="12">
        <v>8</v>
      </c>
      <c r="R865" s="13" t="s">
        <v>43</v>
      </c>
      <c r="S865" s="13"/>
      <c r="T865" s="15">
        <v>3000</v>
      </c>
      <c r="U865" s="13" t="s">
        <v>52</v>
      </c>
      <c r="V865" s="13" t="s">
        <v>269</v>
      </c>
      <c r="W865" s="12">
        <v>10</v>
      </c>
      <c r="X865" s="33" t="str">
        <f>HYPERLINK("https://www.alpinabook.ru/catalog/book-mashina-tvoreniya","ссылка на книгу")</f>
        <v>ссылка на книгу</v>
      </c>
      <c r="Y865" s="34" t="str">
        <f>HYPERLINK("https://api-enni.alpina.ru/FilePrivilegesApproval/374","https://api-enni.alpina.ru/FilePrivilegesApproval/374")</f>
        <v>https://api-enni.alpina.ru/FilePrivilegesApproval/374</v>
      </c>
      <c r="Z865" s="13"/>
      <c r="AT865" s="1">
        <f t="shared" si="133"/>
        <v>0</v>
      </c>
      <c r="AU865" s="1">
        <f t="shared" si="134"/>
        <v>0</v>
      </c>
      <c r="AV865" s="1">
        <f t="shared" si="135"/>
        <v>0</v>
      </c>
      <c r="AW865" s="1">
        <f t="shared" si="136"/>
        <v>0</v>
      </c>
      <c r="AX865" s="1">
        <f t="shared" si="137"/>
        <v>0</v>
      </c>
    </row>
    <row r="866" spans="1:50" s="1" customFormat="1" ht="24.95" customHeight="1" outlineLevel="3" x14ac:dyDescent="0.2">
      <c r="A866" s="11"/>
      <c r="B866" s="12">
        <v>720</v>
      </c>
      <c r="C866" s="15">
        <v>1090</v>
      </c>
      <c r="D866" s="12">
        <v>28751</v>
      </c>
      <c r="E866" s="13" t="s">
        <v>2721</v>
      </c>
      <c r="F866" s="13" t="s">
        <v>2797</v>
      </c>
      <c r="G866" s="13" t="s">
        <v>86</v>
      </c>
      <c r="H866" s="13"/>
      <c r="I866" s="12">
        <v>2024</v>
      </c>
      <c r="J866" s="13" t="s">
        <v>2798</v>
      </c>
      <c r="K866" s="12">
        <v>9785002230525</v>
      </c>
      <c r="L866" s="13" t="s">
        <v>2799</v>
      </c>
      <c r="M866" s="12">
        <v>446</v>
      </c>
      <c r="N866" s="14">
        <v>0.51</v>
      </c>
      <c r="O866" s="12">
        <v>150</v>
      </c>
      <c r="P866" s="12">
        <v>220</v>
      </c>
      <c r="Q866" s="12">
        <v>12</v>
      </c>
      <c r="R866" s="13" t="s">
        <v>43</v>
      </c>
      <c r="S866" s="13"/>
      <c r="T866" s="15">
        <v>2000</v>
      </c>
      <c r="U866" s="13" t="s">
        <v>52</v>
      </c>
      <c r="V866" s="13" t="s">
        <v>45</v>
      </c>
      <c r="W866" s="12">
        <v>10</v>
      </c>
      <c r="X866" s="33" t="str">
        <f>HYPERLINK("https://www.alpinabook.ru/catalog/book-mertvyy-lev","ссылка на книгу")</f>
        <v>ссылка на книгу</v>
      </c>
      <c r="Y866" s="34" t="str">
        <f>HYPERLINK("https://api-enni.alpina.ru/FilePrivilegesApproval/566","https://api-enni.alpina.ru/FilePrivilegesApproval/566")</f>
        <v>https://api-enni.alpina.ru/FilePrivilegesApproval/566</v>
      </c>
      <c r="Z866" s="13"/>
      <c r="AT866" s="1">
        <f t="shared" si="133"/>
        <v>0</v>
      </c>
      <c r="AU866" s="1">
        <f t="shared" si="134"/>
        <v>0</v>
      </c>
      <c r="AV866" s="1">
        <f t="shared" si="135"/>
        <v>0</v>
      </c>
      <c r="AW866" s="1">
        <f t="shared" si="136"/>
        <v>0</v>
      </c>
      <c r="AX866" s="1">
        <f t="shared" si="137"/>
        <v>0</v>
      </c>
    </row>
    <row r="867" spans="1:50" s="1" customFormat="1" ht="24.95" customHeight="1" outlineLevel="3" x14ac:dyDescent="0.2">
      <c r="A867" s="11"/>
      <c r="B867" s="12">
        <v>790</v>
      </c>
      <c r="C867" s="12">
        <v>790</v>
      </c>
      <c r="D867" s="12">
        <v>23760</v>
      </c>
      <c r="E867" s="13" t="s">
        <v>2800</v>
      </c>
      <c r="F867" s="13" t="s">
        <v>2801</v>
      </c>
      <c r="G867" s="13" t="s">
        <v>86</v>
      </c>
      <c r="H867" s="13" t="s">
        <v>40</v>
      </c>
      <c r="I867" s="12">
        <v>2023</v>
      </c>
      <c r="J867" s="13" t="s">
        <v>2802</v>
      </c>
      <c r="K867" s="12">
        <v>9785001398653</v>
      </c>
      <c r="L867" s="13" t="s">
        <v>2803</v>
      </c>
      <c r="M867" s="12">
        <v>416</v>
      </c>
      <c r="N867" s="14">
        <v>0.6</v>
      </c>
      <c r="O867" s="12">
        <v>150</v>
      </c>
      <c r="P867" s="12">
        <v>220</v>
      </c>
      <c r="Q867" s="12">
        <v>10</v>
      </c>
      <c r="R867" s="13" t="s">
        <v>43</v>
      </c>
      <c r="S867" s="13"/>
      <c r="T867" s="15">
        <v>3000</v>
      </c>
      <c r="U867" s="13" t="s">
        <v>52</v>
      </c>
      <c r="V867" s="13" t="s">
        <v>45</v>
      </c>
      <c r="W867" s="12">
        <v>10</v>
      </c>
      <c r="X867" s="33" t="str">
        <f>HYPERLINK("https://www.alpinabook.ru/catalog/book-metazoa","ссылка на книгу")</f>
        <v>ссылка на книгу</v>
      </c>
      <c r="Y867" s="34" t="str">
        <f>HYPERLINK("https://api-enni.alpina.ru/FilePrivilegesApproval/203","https://api-enni.alpina.ru/FilePrivilegesApproval/203")</f>
        <v>https://api-enni.alpina.ru/FilePrivilegesApproval/203</v>
      </c>
      <c r="Z867" s="13"/>
      <c r="AT867" s="1">
        <f t="shared" si="133"/>
        <v>0</v>
      </c>
      <c r="AU867" s="1">
        <f t="shared" si="134"/>
        <v>0</v>
      </c>
      <c r="AV867" s="1">
        <f t="shared" si="135"/>
        <v>0</v>
      </c>
      <c r="AW867" s="1">
        <f t="shared" si="136"/>
        <v>0</v>
      </c>
      <c r="AX867" s="1">
        <f t="shared" si="137"/>
        <v>0</v>
      </c>
    </row>
    <row r="868" spans="1:50" s="1" customFormat="1" ht="24.95" customHeight="1" outlineLevel="3" x14ac:dyDescent="0.2">
      <c r="A868" s="11"/>
      <c r="B868" s="12">
        <v>690</v>
      </c>
      <c r="C868" s="12">
        <v>990</v>
      </c>
      <c r="D868" s="12">
        <v>22768</v>
      </c>
      <c r="E868" s="13" t="s">
        <v>2804</v>
      </c>
      <c r="F868" s="13" t="s">
        <v>2805</v>
      </c>
      <c r="G868" s="13" t="s">
        <v>86</v>
      </c>
      <c r="H868" s="13" t="s">
        <v>40</v>
      </c>
      <c r="I868" s="12">
        <v>2024</v>
      </c>
      <c r="J868" s="13" t="s">
        <v>2806</v>
      </c>
      <c r="K868" s="12">
        <v>9785001396727</v>
      </c>
      <c r="L868" s="13" t="s">
        <v>2807</v>
      </c>
      <c r="M868" s="12">
        <v>396</v>
      </c>
      <c r="N868" s="14">
        <v>0.57999999999999996</v>
      </c>
      <c r="O868" s="12">
        <v>150</v>
      </c>
      <c r="P868" s="12">
        <v>220</v>
      </c>
      <c r="Q868" s="12">
        <v>10</v>
      </c>
      <c r="R868" s="13" t="s">
        <v>43</v>
      </c>
      <c r="S868" s="13"/>
      <c r="T868" s="15">
        <v>2500</v>
      </c>
      <c r="U868" s="13" t="s">
        <v>52</v>
      </c>
      <c r="V868" s="13" t="s">
        <v>59</v>
      </c>
      <c r="W868" s="12">
        <v>10</v>
      </c>
      <c r="X868" s="33" t="str">
        <f>HYPERLINK("https://www.alpinabook.ru/catalog/book-mir-do-nas","ссылка на книгу")</f>
        <v>ссылка на книгу</v>
      </c>
      <c r="Y868" s="34" t="str">
        <f>HYPERLINK("https://api-enni.alpina.ru/FilePrivilegesApproval/337","https://api-enni.alpina.ru/FilePrivilegesApproval/337")</f>
        <v>https://api-enni.alpina.ru/FilePrivilegesApproval/337</v>
      </c>
      <c r="Z868" s="13"/>
      <c r="AT868" s="1">
        <f t="shared" si="133"/>
        <v>0</v>
      </c>
      <c r="AU868" s="1">
        <f t="shared" si="134"/>
        <v>0</v>
      </c>
      <c r="AV868" s="1">
        <f t="shared" si="135"/>
        <v>0</v>
      </c>
      <c r="AW868" s="1">
        <f t="shared" si="136"/>
        <v>0</v>
      </c>
      <c r="AX868" s="1">
        <f t="shared" si="137"/>
        <v>0</v>
      </c>
    </row>
    <row r="869" spans="1:50" s="1" customFormat="1" ht="21.95" customHeight="1" outlineLevel="3" x14ac:dyDescent="0.2">
      <c r="A869" s="11"/>
      <c r="B869" s="12">
        <v>590</v>
      </c>
      <c r="C869" s="12">
        <v>890</v>
      </c>
      <c r="D869" s="12">
        <v>29133</v>
      </c>
      <c r="E869" s="13" t="s">
        <v>2808</v>
      </c>
      <c r="F869" s="13" t="s">
        <v>2809</v>
      </c>
      <c r="G869" s="13" t="s">
        <v>86</v>
      </c>
      <c r="H869" s="13" t="s">
        <v>40</v>
      </c>
      <c r="I869" s="12">
        <v>2023</v>
      </c>
      <c r="J869" s="13" t="s">
        <v>2810</v>
      </c>
      <c r="K869" s="12">
        <v>9785002231164</v>
      </c>
      <c r="L869" s="13" t="s">
        <v>2811</v>
      </c>
      <c r="M869" s="12">
        <v>396</v>
      </c>
      <c r="N869" s="14">
        <v>0.39</v>
      </c>
      <c r="O869" s="12">
        <v>140</v>
      </c>
      <c r="P869" s="12">
        <v>210</v>
      </c>
      <c r="Q869" s="12">
        <v>8</v>
      </c>
      <c r="R869" s="13" t="s">
        <v>43</v>
      </c>
      <c r="S869" s="13"/>
      <c r="T869" s="15">
        <v>3000</v>
      </c>
      <c r="U869" s="13" t="s">
        <v>44</v>
      </c>
      <c r="V869" s="13" t="s">
        <v>89</v>
      </c>
      <c r="W869" s="12">
        <v>20</v>
      </c>
      <c r="X869" s="33" t="str">
        <f>HYPERLINK("https://www.alpinabook.ru/catalog/book-navesele","ссылка на книгу")</f>
        <v>ссылка на книгу</v>
      </c>
      <c r="Y869" s="34" t="str">
        <f>HYPERLINK("","")</f>
        <v/>
      </c>
      <c r="Z869" s="13"/>
      <c r="AT869" s="1">
        <f t="shared" si="133"/>
        <v>0</v>
      </c>
      <c r="AU869" s="1">
        <f t="shared" si="134"/>
        <v>0</v>
      </c>
      <c r="AV869" s="1">
        <f t="shared" si="135"/>
        <v>0</v>
      </c>
      <c r="AW869" s="1">
        <f t="shared" si="136"/>
        <v>0</v>
      </c>
      <c r="AX869" s="1">
        <f t="shared" si="137"/>
        <v>0</v>
      </c>
    </row>
    <row r="870" spans="1:50" s="1" customFormat="1" ht="24.95" customHeight="1" outlineLevel="3" x14ac:dyDescent="0.2">
      <c r="A870" s="11"/>
      <c r="B870" s="12">
        <v>720</v>
      </c>
      <c r="C870" s="12">
        <v>990</v>
      </c>
      <c r="D870" s="12">
        <v>18021</v>
      </c>
      <c r="E870" s="13" t="s">
        <v>2812</v>
      </c>
      <c r="F870" s="13" t="s">
        <v>2813</v>
      </c>
      <c r="G870" s="13" t="s">
        <v>86</v>
      </c>
      <c r="H870" s="13" t="s">
        <v>40</v>
      </c>
      <c r="I870" s="12">
        <v>2024</v>
      </c>
      <c r="J870" s="13" t="s">
        <v>2814</v>
      </c>
      <c r="K870" s="12">
        <v>9785001393801</v>
      </c>
      <c r="L870" s="13" t="s">
        <v>2815</v>
      </c>
      <c r="M870" s="12">
        <v>404</v>
      </c>
      <c r="N870" s="14">
        <v>0.68</v>
      </c>
      <c r="O870" s="12">
        <v>150</v>
      </c>
      <c r="P870" s="12">
        <v>220</v>
      </c>
      <c r="Q870" s="12">
        <v>8</v>
      </c>
      <c r="R870" s="13" t="s">
        <v>43</v>
      </c>
      <c r="S870" s="13"/>
      <c r="T870" s="15">
        <v>2500</v>
      </c>
      <c r="U870" s="13" t="s">
        <v>52</v>
      </c>
      <c r="V870" s="13" t="s">
        <v>89</v>
      </c>
      <c r="W870" s="12">
        <v>10</v>
      </c>
      <c r="X870" s="33" t="str">
        <f>HYPERLINK("https://www.alpinabook.ru/catalog/book-nasha-vnutrennyaya-obezyana","ссылка на книгу")</f>
        <v>ссылка на книгу</v>
      </c>
      <c r="Y870" s="34" t="str">
        <f>HYPERLINK("https://api-enni.alpina.ru/FilePrivilegesApproval/217","https://api-enni.alpina.ru/FilePrivilegesApproval/217")</f>
        <v>https://api-enni.alpina.ru/FilePrivilegesApproval/217</v>
      </c>
      <c r="Z870" s="13"/>
      <c r="AT870" s="1">
        <f t="shared" si="133"/>
        <v>0</v>
      </c>
      <c r="AU870" s="1">
        <f t="shared" si="134"/>
        <v>0</v>
      </c>
      <c r="AV870" s="1">
        <f t="shared" si="135"/>
        <v>0</v>
      </c>
      <c r="AW870" s="1">
        <f t="shared" si="136"/>
        <v>0</v>
      </c>
      <c r="AX870" s="1">
        <f t="shared" si="137"/>
        <v>0</v>
      </c>
    </row>
    <row r="871" spans="1:50" s="1" customFormat="1" ht="24.95" customHeight="1" outlineLevel="3" x14ac:dyDescent="0.2">
      <c r="A871" s="11"/>
      <c r="B871" s="12">
        <v>640</v>
      </c>
      <c r="C871" s="12">
        <v>640</v>
      </c>
      <c r="D871" s="12">
        <v>24775</v>
      </c>
      <c r="E871" s="13" t="s">
        <v>2774</v>
      </c>
      <c r="F871" s="13" t="s">
        <v>2816</v>
      </c>
      <c r="G871" s="13" t="s">
        <v>86</v>
      </c>
      <c r="H871" s="13"/>
      <c r="I871" s="12">
        <v>2022</v>
      </c>
      <c r="J871" s="13" t="s">
        <v>2817</v>
      </c>
      <c r="K871" s="12">
        <v>9785001397502</v>
      </c>
      <c r="L871" s="13" t="s">
        <v>2818</v>
      </c>
      <c r="M871" s="12">
        <v>292</v>
      </c>
      <c r="N871" s="14">
        <v>0.45</v>
      </c>
      <c r="O871" s="12">
        <v>146</v>
      </c>
      <c r="P871" s="12">
        <v>216</v>
      </c>
      <c r="Q871" s="12">
        <v>14</v>
      </c>
      <c r="R871" s="13" t="s">
        <v>43</v>
      </c>
      <c r="S871" s="13"/>
      <c r="T871" s="15">
        <v>2000</v>
      </c>
      <c r="U871" s="13" t="s">
        <v>52</v>
      </c>
      <c r="V871" s="13" t="s">
        <v>45</v>
      </c>
      <c r="W871" s="12">
        <v>10</v>
      </c>
      <c r="X871" s="33" t="str">
        <f>HYPERLINK("https://www.alpinabook.ru/catalog/book-nevidimyy-strazh","ссылка на книгу")</f>
        <v>ссылка на книгу</v>
      </c>
      <c r="Y871" s="34" t="str">
        <f>HYPERLINK("https://api-enni.alpina.ru/FilePrivilegesApproval/185","https://api-enni.alpina.ru/FilePrivilegesApproval/185")</f>
        <v>https://api-enni.alpina.ru/FilePrivilegesApproval/185</v>
      </c>
      <c r="Z871" s="13"/>
      <c r="AT871" s="1">
        <f t="shared" si="133"/>
        <v>0</v>
      </c>
      <c r="AU871" s="1">
        <f t="shared" si="134"/>
        <v>0</v>
      </c>
      <c r="AV871" s="1">
        <f t="shared" si="135"/>
        <v>0</v>
      </c>
      <c r="AW871" s="1">
        <f t="shared" si="136"/>
        <v>0</v>
      </c>
      <c r="AX871" s="1">
        <f t="shared" si="137"/>
        <v>0</v>
      </c>
    </row>
    <row r="872" spans="1:50" s="1" customFormat="1" ht="24.95" customHeight="1" outlineLevel="3" x14ac:dyDescent="0.2">
      <c r="A872" s="11"/>
      <c r="B872" s="12">
        <v>690</v>
      </c>
      <c r="C872" s="12">
        <v>690</v>
      </c>
      <c r="D872" s="12">
        <v>20711</v>
      </c>
      <c r="E872" s="13" t="s">
        <v>2819</v>
      </c>
      <c r="F872" s="13" t="s">
        <v>2820</v>
      </c>
      <c r="G872" s="13" t="s">
        <v>56</v>
      </c>
      <c r="H872" s="13" t="s">
        <v>2821</v>
      </c>
      <c r="I872" s="12">
        <v>2022</v>
      </c>
      <c r="J872" s="13" t="s">
        <v>2822</v>
      </c>
      <c r="K872" s="12">
        <v>9785961475166</v>
      </c>
      <c r="L872" s="13" t="s">
        <v>2823</v>
      </c>
      <c r="M872" s="12">
        <v>248</v>
      </c>
      <c r="N872" s="14">
        <v>0.4</v>
      </c>
      <c r="O872" s="12">
        <v>150</v>
      </c>
      <c r="P872" s="12">
        <v>220</v>
      </c>
      <c r="Q872" s="12">
        <v>14</v>
      </c>
      <c r="R872" s="13" t="s">
        <v>43</v>
      </c>
      <c r="S872" s="13"/>
      <c r="T872" s="15">
        <v>1500</v>
      </c>
      <c r="U872" s="13" t="s">
        <v>52</v>
      </c>
      <c r="V872" s="13" t="s">
        <v>59</v>
      </c>
      <c r="W872" s="12">
        <v>10</v>
      </c>
      <c r="X872" s="33" t="str">
        <f>HYPERLINK("https://www.alpinabook.ru/catalog/book-neestestvennyy-otbor","ссылка на книгу")</f>
        <v>ссылка на книгу</v>
      </c>
      <c r="Y872" s="34" t="str">
        <f>HYPERLINK("https://api-enni.alpina.ru/FilePrivilegesApproval/140","https://api-enni.alpina.ru/FilePrivilegesApproval/140")</f>
        <v>https://api-enni.alpina.ru/FilePrivilegesApproval/140</v>
      </c>
      <c r="Z872" s="13"/>
      <c r="AT872" s="1">
        <f t="shared" si="133"/>
        <v>0</v>
      </c>
      <c r="AU872" s="1">
        <f t="shared" si="134"/>
        <v>0</v>
      </c>
      <c r="AV872" s="1">
        <f t="shared" si="135"/>
        <v>0</v>
      </c>
      <c r="AW872" s="1">
        <f t="shared" si="136"/>
        <v>0</v>
      </c>
      <c r="AX872" s="1">
        <f t="shared" si="137"/>
        <v>0</v>
      </c>
    </row>
    <row r="873" spans="1:50" s="1" customFormat="1" ht="24.95" customHeight="1" outlineLevel="3" x14ac:dyDescent="0.2">
      <c r="A873" s="11"/>
      <c r="B873" s="12">
        <v>840</v>
      </c>
      <c r="C873" s="15">
        <v>1190</v>
      </c>
      <c r="D873" s="12">
        <v>21211</v>
      </c>
      <c r="E873" s="13" t="s">
        <v>2824</v>
      </c>
      <c r="F873" s="13" t="s">
        <v>2825</v>
      </c>
      <c r="G873" s="13" t="s">
        <v>86</v>
      </c>
      <c r="H873" s="13" t="s">
        <v>40</v>
      </c>
      <c r="I873" s="12">
        <v>2023</v>
      </c>
      <c r="J873" s="13" t="s">
        <v>2826</v>
      </c>
      <c r="K873" s="12">
        <v>9785001394365</v>
      </c>
      <c r="L873" s="13" t="s">
        <v>2827</v>
      </c>
      <c r="M873" s="12">
        <v>612</v>
      </c>
      <c r="N873" s="14">
        <v>0.64</v>
      </c>
      <c r="O873" s="12">
        <v>150</v>
      </c>
      <c r="P873" s="12">
        <v>220</v>
      </c>
      <c r="Q873" s="12">
        <v>8</v>
      </c>
      <c r="R873" s="13" t="s">
        <v>43</v>
      </c>
      <c r="S873" s="13"/>
      <c r="T873" s="15">
        <v>2000</v>
      </c>
      <c r="U873" s="13" t="s">
        <v>52</v>
      </c>
      <c r="V873" s="13" t="s">
        <v>59</v>
      </c>
      <c r="W873" s="12">
        <v>10</v>
      </c>
      <c r="X873" s="33" t="str">
        <f>HYPERLINK("https://www.alpinabook.ru/catalog/book-neokonchennaya-simfoniya-darvina","ссылка на книгу")</f>
        <v>ссылка на книгу</v>
      </c>
      <c r="Y873" s="34" t="str">
        <f>HYPERLINK("https://api-enni.alpina.ru/FilePrivilegesApproval/294","https://api-enni.alpina.ru/FilePrivilegesApproval/294")</f>
        <v>https://api-enni.alpina.ru/FilePrivilegesApproval/294</v>
      </c>
      <c r="Z873" s="13"/>
      <c r="AT873" s="1">
        <f t="shared" si="133"/>
        <v>0</v>
      </c>
      <c r="AU873" s="1">
        <f t="shared" si="134"/>
        <v>0</v>
      </c>
      <c r="AV873" s="1">
        <f t="shared" si="135"/>
        <v>0</v>
      </c>
      <c r="AW873" s="1">
        <f t="shared" si="136"/>
        <v>0</v>
      </c>
      <c r="AX873" s="1">
        <f t="shared" si="137"/>
        <v>0</v>
      </c>
    </row>
    <row r="874" spans="1:50" s="1" customFormat="1" ht="24.95" customHeight="1" outlineLevel="3" x14ac:dyDescent="0.2">
      <c r="A874" s="11"/>
      <c r="B874" s="12">
        <v>590</v>
      </c>
      <c r="C874" s="12">
        <v>890</v>
      </c>
      <c r="D874" s="12">
        <v>11487</v>
      </c>
      <c r="E874" s="13" t="s">
        <v>2828</v>
      </c>
      <c r="F874" s="13" t="s">
        <v>2829</v>
      </c>
      <c r="G874" s="13" t="s">
        <v>86</v>
      </c>
      <c r="H874" s="13" t="s">
        <v>40</v>
      </c>
      <c r="I874" s="12">
        <v>2023</v>
      </c>
      <c r="J874" s="13" t="s">
        <v>2830</v>
      </c>
      <c r="K874" s="12">
        <v>9785002232314</v>
      </c>
      <c r="L874" s="13" t="s">
        <v>2831</v>
      </c>
      <c r="M874" s="12">
        <v>396</v>
      </c>
      <c r="N874" s="14">
        <v>0.44</v>
      </c>
      <c r="O874" s="12">
        <v>142</v>
      </c>
      <c r="P874" s="12">
        <v>210</v>
      </c>
      <c r="Q874" s="12">
        <v>10</v>
      </c>
      <c r="R874" s="13" t="s">
        <v>43</v>
      </c>
      <c r="S874" s="13" t="s">
        <v>2690</v>
      </c>
      <c r="T874" s="15">
        <v>1500</v>
      </c>
      <c r="U874" s="13" t="s">
        <v>44</v>
      </c>
      <c r="V874" s="13" t="s">
        <v>59</v>
      </c>
      <c r="W874" s="12">
        <v>10</v>
      </c>
      <c r="X874" s="33" t="str">
        <f>HYPERLINK("https://www.alpinabook.ru/catalog/book-o-chem-molchat-ryby","ссылка на книгу")</f>
        <v>ссылка на книгу</v>
      </c>
      <c r="Y874" s="34" t="str">
        <f>HYPERLINK("https://api-enni.alpina.ru/FilePrivilegesApproval/262","https://api-enni.alpina.ru/FilePrivilegesApproval/262")</f>
        <v>https://api-enni.alpina.ru/FilePrivilegesApproval/262</v>
      </c>
      <c r="Z874" s="13"/>
      <c r="AT874" s="1">
        <f t="shared" si="133"/>
        <v>0</v>
      </c>
      <c r="AU874" s="1">
        <f t="shared" si="134"/>
        <v>0</v>
      </c>
      <c r="AV874" s="1">
        <f t="shared" si="135"/>
        <v>0</v>
      </c>
      <c r="AW874" s="1">
        <f t="shared" si="136"/>
        <v>0</v>
      </c>
      <c r="AX874" s="1">
        <f t="shared" si="137"/>
        <v>0</v>
      </c>
    </row>
    <row r="875" spans="1:50" s="1" customFormat="1" ht="24.95" customHeight="1" outlineLevel="3" x14ac:dyDescent="0.2">
      <c r="A875" s="11"/>
      <c r="B875" s="12">
        <v>790</v>
      </c>
      <c r="C875" s="15">
        <v>1190</v>
      </c>
      <c r="D875" s="12">
        <v>27082</v>
      </c>
      <c r="E875" s="13" t="s">
        <v>2832</v>
      </c>
      <c r="F875" s="13" t="s">
        <v>2833</v>
      </c>
      <c r="G875" s="13" t="s">
        <v>86</v>
      </c>
      <c r="H875" s="13"/>
      <c r="I875" s="12">
        <v>2025</v>
      </c>
      <c r="J875" s="13" t="s">
        <v>2834</v>
      </c>
      <c r="K875" s="12">
        <v>9785001399124</v>
      </c>
      <c r="L875" s="13" t="s">
        <v>2835</v>
      </c>
      <c r="M875" s="12">
        <v>464</v>
      </c>
      <c r="N875" s="14">
        <v>0.55000000000000004</v>
      </c>
      <c r="O875" s="12">
        <v>140</v>
      </c>
      <c r="P875" s="12">
        <v>210</v>
      </c>
      <c r="Q875" s="12">
        <v>8</v>
      </c>
      <c r="R875" s="13" t="s">
        <v>43</v>
      </c>
      <c r="S875" s="13" t="s">
        <v>2690</v>
      </c>
      <c r="T875" s="15">
        <v>1500</v>
      </c>
      <c r="U875" s="13" t="s">
        <v>44</v>
      </c>
      <c r="V875" s="13" t="s">
        <v>45</v>
      </c>
      <c r="W875" s="12">
        <v>10</v>
      </c>
      <c r="X875" s="33" t="str">
        <f>HYPERLINK("https://www.alpinabook.ru/catalog/book-oblachno-vozmozhny-kosatki","ссылка на книгу")</f>
        <v>ссылка на книгу</v>
      </c>
      <c r="Y875" s="34" t="str">
        <f>HYPERLINK("https://api-enni.alpina.ru/FilePrivilegesApproval/187","https://api-enni.alpina.ru/FilePrivilegesApproval/187")</f>
        <v>https://api-enni.alpina.ru/FilePrivilegesApproval/187</v>
      </c>
      <c r="Z875" s="13"/>
      <c r="AT875" s="1">
        <f t="shared" si="133"/>
        <v>0</v>
      </c>
      <c r="AU875" s="1">
        <f t="shared" si="134"/>
        <v>0</v>
      </c>
      <c r="AV875" s="1">
        <f t="shared" si="135"/>
        <v>0</v>
      </c>
      <c r="AW875" s="1">
        <f t="shared" si="136"/>
        <v>0</v>
      </c>
      <c r="AX875" s="1">
        <f t="shared" si="137"/>
        <v>0</v>
      </c>
    </row>
    <row r="876" spans="1:50" s="1" customFormat="1" ht="24.95" customHeight="1" outlineLevel="3" x14ac:dyDescent="0.2">
      <c r="A876" s="11"/>
      <c r="B876" s="12">
        <v>590</v>
      </c>
      <c r="C876" s="12">
        <v>840</v>
      </c>
      <c r="D876" s="12">
        <v>21208</v>
      </c>
      <c r="E876" s="13" t="s">
        <v>2836</v>
      </c>
      <c r="F876" s="13" t="s">
        <v>2837</v>
      </c>
      <c r="G876" s="13" t="s">
        <v>86</v>
      </c>
      <c r="H876" s="13" t="s">
        <v>40</v>
      </c>
      <c r="I876" s="12">
        <v>2023</v>
      </c>
      <c r="J876" s="13" t="s">
        <v>2838</v>
      </c>
      <c r="K876" s="12">
        <v>9785001398677</v>
      </c>
      <c r="L876" s="13" t="s">
        <v>2839</v>
      </c>
      <c r="M876" s="12">
        <v>278</v>
      </c>
      <c r="N876" s="14">
        <v>0.35</v>
      </c>
      <c r="O876" s="12">
        <v>140</v>
      </c>
      <c r="P876" s="12">
        <v>210</v>
      </c>
      <c r="Q876" s="12">
        <v>16</v>
      </c>
      <c r="R876" s="13" t="s">
        <v>43</v>
      </c>
      <c r="S876" s="13"/>
      <c r="T876" s="15">
        <v>3000</v>
      </c>
      <c r="U876" s="13" t="s">
        <v>44</v>
      </c>
      <c r="V876" s="13" t="s">
        <v>59</v>
      </c>
      <c r="W876" s="12">
        <v>10</v>
      </c>
      <c r="X876" s="33" t="str">
        <f>HYPERLINK("https://www.alpinabook.ru/catalog/book-osminogi-karakatitsy-adskie-vampiry","ссылка на книгу")</f>
        <v>ссылка на книгу</v>
      </c>
      <c r="Y876" s="34" t="str">
        <f>HYPERLINK("https://api-enni.alpina.ru/FilePrivilegesApproval/241","https://api-enni.alpina.ru/FilePrivilegesApproval/241")</f>
        <v>https://api-enni.alpina.ru/FilePrivilegesApproval/241</v>
      </c>
      <c r="Z876" s="13"/>
      <c r="AT876" s="1">
        <f t="shared" si="133"/>
        <v>0</v>
      </c>
      <c r="AU876" s="1">
        <f t="shared" si="134"/>
        <v>0</v>
      </c>
      <c r="AV876" s="1">
        <f t="shared" si="135"/>
        <v>0</v>
      </c>
      <c r="AW876" s="1">
        <f t="shared" si="136"/>
        <v>0</v>
      </c>
      <c r="AX876" s="1">
        <f t="shared" si="137"/>
        <v>0</v>
      </c>
    </row>
    <row r="877" spans="1:50" s="1" customFormat="1" ht="24.95" customHeight="1" outlineLevel="3" x14ac:dyDescent="0.2">
      <c r="A877" s="11"/>
      <c r="B877" s="12">
        <v>990</v>
      </c>
      <c r="C877" s="15">
        <v>1490</v>
      </c>
      <c r="D877" s="12">
        <v>27833</v>
      </c>
      <c r="E877" s="13" t="s">
        <v>2840</v>
      </c>
      <c r="F877" s="13" t="s">
        <v>2841</v>
      </c>
      <c r="G877" s="13" t="s">
        <v>86</v>
      </c>
      <c r="H877" s="13"/>
      <c r="I877" s="12">
        <v>2025</v>
      </c>
      <c r="J877" s="13" t="s">
        <v>2842</v>
      </c>
      <c r="K877" s="12">
        <v>9785001399605</v>
      </c>
      <c r="L877" s="13" t="s">
        <v>2843</v>
      </c>
      <c r="M877" s="12">
        <v>702</v>
      </c>
      <c r="N877" s="14">
        <v>0.83</v>
      </c>
      <c r="O877" s="12">
        <v>140</v>
      </c>
      <c r="P877" s="12">
        <v>210</v>
      </c>
      <c r="Q877" s="12">
        <v>4</v>
      </c>
      <c r="R877" s="13" t="s">
        <v>43</v>
      </c>
      <c r="S877" s="13"/>
      <c r="T877" s="15">
        <v>1000</v>
      </c>
      <c r="U877" s="13" t="s">
        <v>44</v>
      </c>
      <c r="V877" s="13" t="s">
        <v>59</v>
      </c>
      <c r="W877" s="12">
        <v>10</v>
      </c>
      <c r="X877" s="33" t="str">
        <f>HYPERLINK("https://www.alpinabook.ru/catalog/book-ot-atomov-k-drevu","ссылка на книгу")</f>
        <v>ссылка на книгу</v>
      </c>
      <c r="Y877" s="34" t="str">
        <f>HYPERLINK("https://api-enni.alpina.ru/FilePrivilegesApproval/149","https://api-enni.alpina.ru/FilePrivilegesApproval/149")</f>
        <v>https://api-enni.alpina.ru/FilePrivilegesApproval/149</v>
      </c>
      <c r="Z877" s="13"/>
      <c r="AT877" s="1">
        <f t="shared" si="133"/>
        <v>0</v>
      </c>
      <c r="AU877" s="1">
        <f t="shared" si="134"/>
        <v>0</v>
      </c>
      <c r="AV877" s="1">
        <f t="shared" si="135"/>
        <v>0</v>
      </c>
      <c r="AW877" s="1">
        <f t="shared" si="136"/>
        <v>0</v>
      </c>
      <c r="AX877" s="1">
        <f t="shared" si="137"/>
        <v>0</v>
      </c>
    </row>
    <row r="878" spans="1:50" s="1" customFormat="1" ht="24.95" customHeight="1" outlineLevel="3" x14ac:dyDescent="0.2">
      <c r="A878" s="11"/>
      <c r="B878" s="12">
        <v>790</v>
      </c>
      <c r="C878" s="15">
        <v>1190</v>
      </c>
      <c r="D878" s="12">
        <v>12296</v>
      </c>
      <c r="E878" s="13" t="s">
        <v>2844</v>
      </c>
      <c r="F878" s="13" t="s">
        <v>2845</v>
      </c>
      <c r="G878" s="13" t="s">
        <v>86</v>
      </c>
      <c r="H878" s="13" t="s">
        <v>40</v>
      </c>
      <c r="I878" s="12">
        <v>2025</v>
      </c>
      <c r="J878" s="13" t="s">
        <v>2846</v>
      </c>
      <c r="K878" s="12">
        <v>9785001399476</v>
      </c>
      <c r="L878" s="13" t="s">
        <v>2847</v>
      </c>
      <c r="M878" s="12">
        <v>424</v>
      </c>
      <c r="N878" s="14">
        <v>0.53</v>
      </c>
      <c r="O878" s="12">
        <v>140</v>
      </c>
      <c r="P878" s="12">
        <v>210</v>
      </c>
      <c r="Q878" s="12">
        <v>12</v>
      </c>
      <c r="R878" s="13" t="s">
        <v>43</v>
      </c>
      <c r="S878" s="13" t="s">
        <v>2690</v>
      </c>
      <c r="T878" s="15">
        <v>5000</v>
      </c>
      <c r="U878" s="13" t="s">
        <v>44</v>
      </c>
      <c r="V878" s="13" t="s">
        <v>59</v>
      </c>
      <c r="W878" s="12">
        <v>10</v>
      </c>
      <c r="X878" s="33" t="str">
        <f>HYPERLINK("https://www.alpinabook.ru/catalog/book-ot-savanny-do-divana","ссылка на книгу")</f>
        <v>ссылка на книгу</v>
      </c>
      <c r="Y878" s="34" t="str">
        <f>HYPERLINK("https://api-enni.alpina.ru/FilePrivilegesApproval/377","https://api-enni.alpina.ru/FilePrivilegesApproval/377")</f>
        <v>https://api-enni.alpina.ru/FilePrivilegesApproval/377</v>
      </c>
      <c r="Z878" s="13" t="s">
        <v>775</v>
      </c>
      <c r="AT878" s="1">
        <f t="shared" si="133"/>
        <v>0</v>
      </c>
      <c r="AU878" s="1">
        <f t="shared" si="134"/>
        <v>0</v>
      </c>
      <c r="AV878" s="1">
        <f t="shared" si="135"/>
        <v>0</v>
      </c>
      <c r="AW878" s="1">
        <f t="shared" si="136"/>
        <v>0</v>
      </c>
      <c r="AX878" s="1">
        <f t="shared" si="137"/>
        <v>0</v>
      </c>
    </row>
    <row r="879" spans="1:50" s="1" customFormat="1" ht="24.95" customHeight="1" outlineLevel="3" x14ac:dyDescent="0.2">
      <c r="A879" s="11"/>
      <c r="B879" s="12">
        <v>540</v>
      </c>
      <c r="C879" s="12">
        <v>790</v>
      </c>
      <c r="D879" s="12">
        <v>24013</v>
      </c>
      <c r="E879" s="13" t="s">
        <v>2848</v>
      </c>
      <c r="F879" s="13" t="s">
        <v>2849</v>
      </c>
      <c r="G879" s="13" t="s">
        <v>86</v>
      </c>
      <c r="H879" s="13" t="s">
        <v>40</v>
      </c>
      <c r="I879" s="12">
        <v>2023</v>
      </c>
      <c r="J879" s="13" t="s">
        <v>2850</v>
      </c>
      <c r="K879" s="12">
        <v>9785001398332</v>
      </c>
      <c r="L879" s="13" t="s">
        <v>2851</v>
      </c>
      <c r="M879" s="12">
        <v>378</v>
      </c>
      <c r="N879" s="14">
        <v>0.31</v>
      </c>
      <c r="O879" s="12">
        <v>130</v>
      </c>
      <c r="P879" s="12">
        <v>200</v>
      </c>
      <c r="Q879" s="12">
        <v>8</v>
      </c>
      <c r="R879" s="13" t="s">
        <v>82</v>
      </c>
      <c r="S879" s="13"/>
      <c r="T879" s="15">
        <v>2000</v>
      </c>
      <c r="U879" s="13" t="s">
        <v>44</v>
      </c>
      <c r="V879" s="13" t="s">
        <v>89</v>
      </c>
      <c r="W879" s="12">
        <v>10</v>
      </c>
      <c r="X879" s="33" t="str">
        <f>HYPERLINK("https://www.alpinabook.ru/catalog/book-paradoks-penisa","ссылка на книгу")</f>
        <v>ссылка на книгу</v>
      </c>
      <c r="Y879" s="34" t="str">
        <f>HYPERLINK("https://api-enni.alpina.ru/FilePrivilegesApproval/360","https://api-enni.alpina.ru/FilePrivilegesApproval/360")</f>
        <v>https://api-enni.alpina.ru/FilePrivilegesApproval/360</v>
      </c>
      <c r="Z879" s="13"/>
      <c r="AT879" s="1">
        <f t="shared" si="133"/>
        <v>0</v>
      </c>
      <c r="AU879" s="1">
        <f t="shared" si="134"/>
        <v>0</v>
      </c>
      <c r="AV879" s="1">
        <f t="shared" si="135"/>
        <v>0</v>
      </c>
      <c r="AW879" s="1">
        <f t="shared" si="136"/>
        <v>0</v>
      </c>
      <c r="AX879" s="1">
        <f t="shared" si="137"/>
        <v>0</v>
      </c>
    </row>
    <row r="880" spans="1:50" s="1" customFormat="1" ht="24.95" customHeight="1" outlineLevel="3" x14ac:dyDescent="0.2">
      <c r="A880" s="11"/>
      <c r="B880" s="12">
        <v>290</v>
      </c>
      <c r="C880" s="12">
        <v>490</v>
      </c>
      <c r="D880" s="12">
        <v>29150</v>
      </c>
      <c r="E880" s="13" t="s">
        <v>2852</v>
      </c>
      <c r="F880" s="13" t="s">
        <v>2853</v>
      </c>
      <c r="G880" s="13" t="s">
        <v>86</v>
      </c>
      <c r="H880" s="13" t="s">
        <v>40</v>
      </c>
      <c r="I880" s="12">
        <v>2024</v>
      </c>
      <c r="J880" s="13" t="s">
        <v>2854</v>
      </c>
      <c r="K880" s="12">
        <v>9785002231188</v>
      </c>
      <c r="L880" s="13" t="s">
        <v>2855</v>
      </c>
      <c r="M880" s="12">
        <v>208</v>
      </c>
      <c r="N880" s="14">
        <v>0.14000000000000001</v>
      </c>
      <c r="O880" s="12">
        <v>120</v>
      </c>
      <c r="P880" s="12">
        <v>170</v>
      </c>
      <c r="Q880" s="12">
        <v>28</v>
      </c>
      <c r="R880" s="13" t="s">
        <v>75</v>
      </c>
      <c r="S880" s="13" t="s">
        <v>596</v>
      </c>
      <c r="T880" s="15">
        <v>2000</v>
      </c>
      <c r="U880" s="13" t="s">
        <v>44</v>
      </c>
      <c r="V880" s="13" t="s">
        <v>59</v>
      </c>
      <c r="W880" s="12">
        <v>10</v>
      </c>
      <c r="X880" s="33" t="str">
        <f>HYPERLINK("https://www.alpinabook.ru/catalog/book-paradoks-strakha","ссылка на книгу")</f>
        <v>ссылка на книгу</v>
      </c>
      <c r="Y880" s="34" t="str">
        <f>HYPERLINK("https://api-enni.alpina.ru/FilePrivilegesApproval/150","https://api-enni.alpina.ru/FilePrivilegesApproval/150")</f>
        <v>https://api-enni.alpina.ru/FilePrivilegesApproval/150</v>
      </c>
      <c r="Z880" s="13"/>
      <c r="AT880" s="1">
        <f t="shared" si="133"/>
        <v>0</v>
      </c>
      <c r="AU880" s="1">
        <f t="shared" si="134"/>
        <v>0</v>
      </c>
      <c r="AV880" s="1">
        <f t="shared" si="135"/>
        <v>0</v>
      </c>
      <c r="AW880" s="1">
        <f t="shared" si="136"/>
        <v>0</v>
      </c>
      <c r="AX880" s="1">
        <f t="shared" si="137"/>
        <v>0</v>
      </c>
    </row>
    <row r="881" spans="1:50" s="1" customFormat="1" ht="24.95" customHeight="1" outlineLevel="3" x14ac:dyDescent="0.2">
      <c r="A881" s="11"/>
      <c r="B881" s="12">
        <v>790</v>
      </c>
      <c r="C881" s="15">
        <v>1190</v>
      </c>
      <c r="D881" s="12">
        <v>23838</v>
      </c>
      <c r="E881" s="13" t="s">
        <v>2856</v>
      </c>
      <c r="F881" s="13" t="s">
        <v>2857</v>
      </c>
      <c r="G881" s="13" t="s">
        <v>86</v>
      </c>
      <c r="H881" s="13" t="s">
        <v>40</v>
      </c>
      <c r="I881" s="12">
        <v>2024</v>
      </c>
      <c r="J881" s="13" t="s">
        <v>2858</v>
      </c>
      <c r="K881" s="12">
        <v>9785001399179</v>
      </c>
      <c r="L881" s="13" t="s">
        <v>2859</v>
      </c>
      <c r="M881" s="12">
        <v>422</v>
      </c>
      <c r="N881" s="14">
        <v>0.63</v>
      </c>
      <c r="O881" s="12">
        <v>150</v>
      </c>
      <c r="P881" s="12">
        <v>220</v>
      </c>
      <c r="Q881" s="12">
        <v>10</v>
      </c>
      <c r="R881" s="13" t="s">
        <v>43</v>
      </c>
      <c r="S881" s="13"/>
      <c r="T881" s="15">
        <v>3000</v>
      </c>
      <c r="U881" s="13" t="s">
        <v>52</v>
      </c>
      <c r="V881" s="13" t="s">
        <v>59</v>
      </c>
      <c r="W881" s="12">
        <v>10</v>
      </c>
      <c r="X881" s="33" t="str">
        <f>HYPERLINK("https://www.alpinabook.ru/catalog/book-pervye-shagi","ссылка на книгу")</f>
        <v>ссылка на книгу</v>
      </c>
      <c r="Y881" s="34" t="str">
        <f>HYPERLINK("https://api-enni.alpina.ru/FilePrivilegesApproval/366","https://api-enni.alpina.ru/FilePrivilegesApproval/366")</f>
        <v>https://api-enni.alpina.ru/FilePrivilegesApproval/366</v>
      </c>
      <c r="Z881" s="13"/>
      <c r="AT881" s="1">
        <f t="shared" si="133"/>
        <v>0</v>
      </c>
      <c r="AU881" s="1">
        <f t="shared" si="134"/>
        <v>0</v>
      </c>
      <c r="AV881" s="1">
        <f t="shared" si="135"/>
        <v>0</v>
      </c>
      <c r="AW881" s="1">
        <f t="shared" si="136"/>
        <v>0</v>
      </c>
      <c r="AX881" s="1">
        <f t="shared" si="137"/>
        <v>0</v>
      </c>
    </row>
    <row r="882" spans="1:50" s="1" customFormat="1" ht="24.95" customHeight="1" outlineLevel="3" x14ac:dyDescent="0.2">
      <c r="A882" s="11"/>
      <c r="B882" s="12">
        <v>690</v>
      </c>
      <c r="C882" s="12">
        <v>990</v>
      </c>
      <c r="D882" s="12">
        <v>18834</v>
      </c>
      <c r="E882" s="13" t="s">
        <v>630</v>
      </c>
      <c r="F882" s="13" t="s">
        <v>631</v>
      </c>
      <c r="G882" s="13" t="s">
        <v>86</v>
      </c>
      <c r="H882" s="13" t="s">
        <v>40</v>
      </c>
      <c r="I882" s="12">
        <v>2025</v>
      </c>
      <c r="J882" s="13" t="s">
        <v>632</v>
      </c>
      <c r="K882" s="12">
        <v>9785001395454</v>
      </c>
      <c r="L882" s="13" t="s">
        <v>633</v>
      </c>
      <c r="M882" s="12">
        <v>190</v>
      </c>
      <c r="N882" s="14">
        <v>0.28000000000000003</v>
      </c>
      <c r="O882" s="12">
        <v>150</v>
      </c>
      <c r="P882" s="12">
        <v>220</v>
      </c>
      <c r="Q882" s="12">
        <v>10</v>
      </c>
      <c r="R882" s="13" t="s">
        <v>82</v>
      </c>
      <c r="S882" s="13"/>
      <c r="T882" s="15">
        <v>1000</v>
      </c>
      <c r="U882" s="13" t="s">
        <v>52</v>
      </c>
      <c r="V882" s="13" t="s">
        <v>59</v>
      </c>
      <c r="W882" s="12">
        <v>10</v>
      </c>
      <c r="X882" s="33" t="str">
        <f>HYPERLINK("https://www.alpinabook.ru/catalog/book-planeta-virusov","ссылка на книгу")</f>
        <v>ссылка на книгу</v>
      </c>
      <c r="Y882" s="34" t="str">
        <f>HYPERLINK("https://api-enni.alpina.ru/FilePrivilegesApproval/185","https://api-enni.alpina.ru/FilePrivilegesApproval/185")</f>
        <v>https://api-enni.alpina.ru/FilePrivilegesApproval/185</v>
      </c>
      <c r="Z882" s="13" t="s">
        <v>65</v>
      </c>
      <c r="AT882" s="1">
        <f t="shared" si="133"/>
        <v>0</v>
      </c>
      <c r="AU882" s="1">
        <f t="shared" si="134"/>
        <v>0</v>
      </c>
      <c r="AV882" s="1">
        <f t="shared" si="135"/>
        <v>0</v>
      </c>
      <c r="AW882" s="1">
        <f t="shared" si="136"/>
        <v>0</v>
      </c>
      <c r="AX882" s="1">
        <f t="shared" si="137"/>
        <v>0</v>
      </c>
    </row>
    <row r="883" spans="1:50" s="1" customFormat="1" ht="24.95" customHeight="1" outlineLevel="3" x14ac:dyDescent="0.2">
      <c r="A883" s="11"/>
      <c r="B883" s="12">
        <v>590</v>
      </c>
      <c r="C883" s="12">
        <v>590</v>
      </c>
      <c r="D883" s="12">
        <v>22419</v>
      </c>
      <c r="E883" s="13" t="s">
        <v>2860</v>
      </c>
      <c r="F883" s="13" t="s">
        <v>2861</v>
      </c>
      <c r="G883" s="13" t="s">
        <v>86</v>
      </c>
      <c r="H883" s="13" t="s">
        <v>40</v>
      </c>
      <c r="I883" s="12">
        <v>2023</v>
      </c>
      <c r="J883" s="13" t="s">
        <v>2862</v>
      </c>
      <c r="K883" s="12">
        <v>9785001395874</v>
      </c>
      <c r="L883" s="13" t="s">
        <v>2863</v>
      </c>
      <c r="M883" s="12">
        <v>240</v>
      </c>
      <c r="N883" s="14">
        <v>0.39</v>
      </c>
      <c r="O883" s="12">
        <v>146</v>
      </c>
      <c r="P883" s="12">
        <v>216</v>
      </c>
      <c r="Q883" s="12">
        <v>16</v>
      </c>
      <c r="R883" s="13" t="s">
        <v>43</v>
      </c>
      <c r="S883" s="13"/>
      <c r="T883" s="15">
        <v>2000</v>
      </c>
      <c r="U883" s="13" t="s">
        <v>52</v>
      </c>
      <c r="V883" s="13" t="s">
        <v>45</v>
      </c>
      <c r="W883" s="12">
        <v>10</v>
      </c>
      <c r="X883" s="33" t="str">
        <f>HYPERLINK("https://www.alpinabook.ru/catalog/book-pod-belym-nebom","ссылка на книгу")</f>
        <v>ссылка на книгу</v>
      </c>
      <c r="Y883" s="34" t="str">
        <f>HYPERLINK("https://api-enni.alpina.ru/FilePrivilegesApproval/174","https://api-enni.alpina.ru/FilePrivilegesApproval/174")</f>
        <v>https://api-enni.alpina.ru/FilePrivilegesApproval/174</v>
      </c>
      <c r="Z883" s="13"/>
      <c r="AT883" s="1">
        <f t="shared" si="133"/>
        <v>0</v>
      </c>
      <c r="AU883" s="1">
        <f t="shared" si="134"/>
        <v>0</v>
      </c>
      <c r="AV883" s="1">
        <f t="shared" si="135"/>
        <v>0</v>
      </c>
      <c r="AW883" s="1">
        <f t="shared" si="136"/>
        <v>0</v>
      </c>
      <c r="AX883" s="1">
        <f t="shared" si="137"/>
        <v>0</v>
      </c>
    </row>
    <row r="884" spans="1:50" s="1" customFormat="1" ht="24.95" customHeight="1" outlineLevel="3" x14ac:dyDescent="0.2">
      <c r="A884" s="26"/>
      <c r="B884" s="27">
        <v>990</v>
      </c>
      <c r="C884" s="28">
        <v>1290</v>
      </c>
      <c r="D884" s="27">
        <v>30998</v>
      </c>
      <c r="E884" s="29" t="s">
        <v>2751</v>
      </c>
      <c r="F884" s="29" t="s">
        <v>2864</v>
      </c>
      <c r="G884" s="29" t="s">
        <v>86</v>
      </c>
      <c r="H884" s="29"/>
      <c r="I884" s="27">
        <v>2024</v>
      </c>
      <c r="J884" s="29" t="s">
        <v>2865</v>
      </c>
      <c r="K884" s="27">
        <v>9785002233199</v>
      </c>
      <c r="L884" s="29" t="s">
        <v>2866</v>
      </c>
      <c r="M884" s="27">
        <v>772</v>
      </c>
      <c r="N884" s="30">
        <v>1.02</v>
      </c>
      <c r="O884" s="27">
        <v>150</v>
      </c>
      <c r="P884" s="27">
        <v>220</v>
      </c>
      <c r="Q884" s="27">
        <v>4</v>
      </c>
      <c r="R884" s="29" t="s">
        <v>43</v>
      </c>
      <c r="S884" s="29"/>
      <c r="T884" s="28">
        <v>1000</v>
      </c>
      <c r="U884" s="29" t="s">
        <v>52</v>
      </c>
      <c r="V884" s="29" t="s">
        <v>59</v>
      </c>
      <c r="W884" s="27">
        <v>10</v>
      </c>
      <c r="X884" s="37" t="str">
        <f>HYPERLINK("https://www.alpinabook.ru/catalog/book-pokhozhdeniya-vidov","ссылка на книгу")</f>
        <v>ссылка на книгу</v>
      </c>
      <c r="Y884" s="38" t="str">
        <f>HYPERLINK("https://api-enni.alpina.ru/FilePrivilegesApproval/148","https://api-enni.alpina.ru/FilePrivilegesApproval/148")</f>
        <v>https://api-enni.alpina.ru/FilePrivilegesApproval/148</v>
      </c>
      <c r="Z884" s="29"/>
      <c r="AT884" s="1">
        <f t="shared" si="133"/>
        <v>0</v>
      </c>
      <c r="AU884" s="1">
        <f t="shared" si="134"/>
        <v>0</v>
      </c>
      <c r="AV884" s="1">
        <f t="shared" si="135"/>
        <v>0</v>
      </c>
      <c r="AW884" s="1">
        <f t="shared" si="136"/>
        <v>0</v>
      </c>
      <c r="AX884" s="1">
        <f t="shared" si="137"/>
        <v>0</v>
      </c>
    </row>
    <row r="885" spans="1:50" s="1" customFormat="1" ht="24.95" customHeight="1" outlineLevel="3" x14ac:dyDescent="0.2">
      <c r="A885" s="11"/>
      <c r="B885" s="12">
        <v>740</v>
      </c>
      <c r="C885" s="12">
        <v>740</v>
      </c>
      <c r="D885" s="12">
        <v>19149</v>
      </c>
      <c r="E885" s="13" t="s">
        <v>2867</v>
      </c>
      <c r="F885" s="13" t="s">
        <v>2868</v>
      </c>
      <c r="G885" s="13" t="s">
        <v>86</v>
      </c>
      <c r="H885" s="13" t="s">
        <v>40</v>
      </c>
      <c r="I885" s="12">
        <v>2022</v>
      </c>
      <c r="J885" s="13" t="s">
        <v>2869</v>
      </c>
      <c r="K885" s="12">
        <v>9785001394624</v>
      </c>
      <c r="L885" s="13" t="s">
        <v>2870</v>
      </c>
      <c r="M885" s="12">
        <v>330</v>
      </c>
      <c r="N885" s="14">
        <v>0.5</v>
      </c>
      <c r="O885" s="12">
        <v>146</v>
      </c>
      <c r="P885" s="12">
        <v>216</v>
      </c>
      <c r="Q885" s="12">
        <v>8</v>
      </c>
      <c r="R885" s="13" t="s">
        <v>43</v>
      </c>
      <c r="S885" s="13" t="s">
        <v>2618</v>
      </c>
      <c r="T885" s="15">
        <v>3000</v>
      </c>
      <c r="U885" s="13" t="s">
        <v>52</v>
      </c>
      <c r="V885" s="13" t="s">
        <v>89</v>
      </c>
      <c r="W885" s="12">
        <v>10</v>
      </c>
      <c r="X885" s="33" t="str">
        <f>HYPERLINK("https://www.alpinabook.ru/catalog/book-pochemu-lyudi-raznye","ссылка на книгу")</f>
        <v>ссылка на книгу</v>
      </c>
      <c r="Y885" s="34" t="str">
        <f>HYPERLINK("https://api-enni.alpina.ru/FilePrivilegesApproval/146","https://api-enni.alpina.ru/FilePrivilegesApproval/146")</f>
        <v>https://api-enni.alpina.ru/FilePrivilegesApproval/146</v>
      </c>
      <c r="Z885" s="13"/>
      <c r="AT885" s="1">
        <f t="shared" si="133"/>
        <v>0</v>
      </c>
      <c r="AU885" s="1">
        <f t="shared" si="134"/>
        <v>0</v>
      </c>
      <c r="AV885" s="1">
        <f t="shared" si="135"/>
        <v>0</v>
      </c>
      <c r="AW885" s="1">
        <f t="shared" si="136"/>
        <v>0</v>
      </c>
      <c r="AX885" s="1">
        <f t="shared" si="137"/>
        <v>0</v>
      </c>
    </row>
    <row r="886" spans="1:50" s="1" customFormat="1" ht="24.95" customHeight="1" outlineLevel="3" x14ac:dyDescent="0.2">
      <c r="A886" s="11"/>
      <c r="B886" s="12">
        <v>590</v>
      </c>
      <c r="C886" s="12">
        <v>840</v>
      </c>
      <c r="D886" s="12">
        <v>21209</v>
      </c>
      <c r="E886" s="13" t="s">
        <v>2871</v>
      </c>
      <c r="F886" s="13" t="s">
        <v>2872</v>
      </c>
      <c r="G886" s="13" t="s">
        <v>86</v>
      </c>
      <c r="H886" s="13" t="s">
        <v>850</v>
      </c>
      <c r="I886" s="12">
        <v>2023</v>
      </c>
      <c r="J886" s="13" t="s">
        <v>2873</v>
      </c>
      <c r="K886" s="12">
        <v>9785001396208</v>
      </c>
      <c r="L886" s="13" t="s">
        <v>2874</v>
      </c>
      <c r="M886" s="12">
        <v>332</v>
      </c>
      <c r="N886" s="14">
        <v>0.4</v>
      </c>
      <c r="O886" s="12">
        <v>141</v>
      </c>
      <c r="P886" s="12">
        <v>210</v>
      </c>
      <c r="Q886" s="12">
        <v>14</v>
      </c>
      <c r="R886" s="13" t="s">
        <v>43</v>
      </c>
      <c r="S886" s="13" t="s">
        <v>2690</v>
      </c>
      <c r="T886" s="15">
        <v>2000</v>
      </c>
      <c r="U886" s="13" t="s">
        <v>44</v>
      </c>
      <c r="V886" s="13" t="s">
        <v>45</v>
      </c>
      <c r="W886" s="12">
        <v>10</v>
      </c>
      <c r="X886" s="33" t="str">
        <f>HYPERLINK("https://www.alpinabook.ru/catalog/book-pochti-kak-my","ссылка на книгу")</f>
        <v>ссылка на книгу</v>
      </c>
      <c r="Y886" s="34" t="str">
        <f>HYPERLINK("https://api-enni.alpina.ru/FilePrivilegesApproval/171","https://api-enni.alpina.ru/FilePrivilegesApproval/171")</f>
        <v>https://api-enni.alpina.ru/FilePrivilegesApproval/171</v>
      </c>
      <c r="Z886" s="13"/>
      <c r="AT886" s="1">
        <f t="shared" si="133"/>
        <v>0</v>
      </c>
      <c r="AU886" s="1">
        <f t="shared" si="134"/>
        <v>0</v>
      </c>
      <c r="AV886" s="1">
        <f t="shared" si="135"/>
        <v>0</v>
      </c>
      <c r="AW886" s="1">
        <f t="shared" si="136"/>
        <v>0</v>
      </c>
      <c r="AX886" s="1">
        <f t="shared" si="137"/>
        <v>0</v>
      </c>
    </row>
    <row r="887" spans="1:50" s="1" customFormat="1" ht="24.95" customHeight="1" outlineLevel="3" x14ac:dyDescent="0.2">
      <c r="A887" s="11"/>
      <c r="B887" s="12">
        <v>690</v>
      </c>
      <c r="C887" s="12">
        <v>990</v>
      </c>
      <c r="D887" s="12">
        <v>30011</v>
      </c>
      <c r="E887" s="13" t="s">
        <v>2875</v>
      </c>
      <c r="F887" s="13" t="s">
        <v>2876</v>
      </c>
      <c r="G887" s="13" t="s">
        <v>86</v>
      </c>
      <c r="H887" s="13" t="s">
        <v>40</v>
      </c>
      <c r="I887" s="12">
        <v>2025</v>
      </c>
      <c r="J887" s="13" t="s">
        <v>2877</v>
      </c>
      <c r="K887" s="12">
        <v>9785002232215</v>
      </c>
      <c r="L887" s="13" t="s">
        <v>2878</v>
      </c>
      <c r="M887" s="12">
        <v>330</v>
      </c>
      <c r="N887" s="14">
        <v>0.5</v>
      </c>
      <c r="O887" s="12">
        <v>150</v>
      </c>
      <c r="P887" s="12">
        <v>220</v>
      </c>
      <c r="Q887" s="12">
        <v>12</v>
      </c>
      <c r="R887" s="13" t="s">
        <v>43</v>
      </c>
      <c r="S887" s="13"/>
      <c r="T887" s="15">
        <v>2000</v>
      </c>
      <c r="U887" s="13" t="s">
        <v>52</v>
      </c>
      <c r="V887" s="13" t="s">
        <v>45</v>
      </c>
      <c r="W887" s="12">
        <v>10</v>
      </c>
      <c r="X887" s="33" t="str">
        <f>HYPERLINK("https://www.alpinabook.ru/catalog/book-proiskhozhdenie-vkusov","ссылка на книгу")</f>
        <v>ссылка на книгу</v>
      </c>
      <c r="Y887" s="34" t="str">
        <f>HYPERLINK("https://api-enni.alpina.ru/FilePrivilegesApproval/776","https://api-enni.alpina.ru/FilePrivilegesApproval/776")</f>
        <v>https://api-enni.alpina.ru/FilePrivilegesApproval/776</v>
      </c>
      <c r="Z887" s="13" t="s">
        <v>321</v>
      </c>
      <c r="AT887" s="1">
        <f t="shared" si="133"/>
        <v>0</v>
      </c>
      <c r="AU887" s="1">
        <f t="shared" si="134"/>
        <v>0</v>
      </c>
      <c r="AV887" s="1">
        <f t="shared" si="135"/>
        <v>0</v>
      </c>
      <c r="AW887" s="1">
        <f t="shared" si="136"/>
        <v>0</v>
      </c>
      <c r="AX887" s="1">
        <f t="shared" si="137"/>
        <v>0</v>
      </c>
    </row>
    <row r="888" spans="1:50" s="1" customFormat="1" ht="24.95" customHeight="1" outlineLevel="3" x14ac:dyDescent="0.2">
      <c r="A888" s="11"/>
      <c r="B888" s="12">
        <v>490</v>
      </c>
      <c r="C888" s="12">
        <v>740</v>
      </c>
      <c r="D888" s="12">
        <v>27355</v>
      </c>
      <c r="E888" s="13" t="s">
        <v>2879</v>
      </c>
      <c r="F888" s="13" t="s">
        <v>2880</v>
      </c>
      <c r="G888" s="13" t="s">
        <v>86</v>
      </c>
      <c r="H888" s="13"/>
      <c r="I888" s="12">
        <v>2025</v>
      </c>
      <c r="J888" s="13" t="s">
        <v>2881</v>
      </c>
      <c r="K888" s="12">
        <v>9785001399209</v>
      </c>
      <c r="L888" s="13" t="s">
        <v>2882</v>
      </c>
      <c r="M888" s="12">
        <v>686</v>
      </c>
      <c r="N888" s="14">
        <v>0.44</v>
      </c>
      <c r="O888" s="12">
        <v>120</v>
      </c>
      <c r="P888" s="12">
        <v>170</v>
      </c>
      <c r="Q888" s="12">
        <v>10</v>
      </c>
      <c r="R888" s="13" t="s">
        <v>75</v>
      </c>
      <c r="S888" s="13" t="s">
        <v>596</v>
      </c>
      <c r="T888" s="15">
        <v>2000</v>
      </c>
      <c r="U888" s="13" t="s">
        <v>44</v>
      </c>
      <c r="V888" s="13" t="s">
        <v>64</v>
      </c>
      <c r="W888" s="12">
        <v>10</v>
      </c>
      <c r="X888" s="33" t="str">
        <f>HYPERLINK("https://www.alpinabook.ru/catalog/book-proiskhozhdenie-zhizni","ссылка на книгу")</f>
        <v>ссылка на книгу</v>
      </c>
      <c r="Y888" s="34" t="str">
        <f>HYPERLINK("https://api-enni.alpina.ru/FilePrivilegesApproval/145","https://api-enni.alpina.ru/FilePrivilegesApproval/145")</f>
        <v>https://api-enni.alpina.ru/FilePrivilegesApproval/145</v>
      </c>
      <c r="Z888" s="13" t="s">
        <v>1342</v>
      </c>
      <c r="AT888" s="1">
        <f t="shared" si="133"/>
        <v>0</v>
      </c>
      <c r="AU888" s="1">
        <f t="shared" si="134"/>
        <v>0</v>
      </c>
      <c r="AV888" s="1">
        <f t="shared" si="135"/>
        <v>0</v>
      </c>
      <c r="AW888" s="1">
        <f t="shared" si="136"/>
        <v>0</v>
      </c>
      <c r="AX888" s="1">
        <f t="shared" si="137"/>
        <v>0</v>
      </c>
    </row>
    <row r="889" spans="1:50" s="1" customFormat="1" ht="24.95" customHeight="1" outlineLevel="3" x14ac:dyDescent="0.2">
      <c r="A889" s="11"/>
      <c r="B889" s="12">
        <v>690</v>
      </c>
      <c r="C889" s="12">
        <v>690</v>
      </c>
      <c r="D889" s="12">
        <v>19419</v>
      </c>
      <c r="E889" s="13" t="s">
        <v>2883</v>
      </c>
      <c r="F889" s="13" t="s">
        <v>2884</v>
      </c>
      <c r="G889" s="13" t="s">
        <v>86</v>
      </c>
      <c r="H889" s="13" t="s">
        <v>40</v>
      </c>
      <c r="I889" s="12">
        <v>2022</v>
      </c>
      <c r="J889" s="13" t="s">
        <v>2885</v>
      </c>
      <c r="K889" s="12">
        <v>9785001396819</v>
      </c>
      <c r="L889" s="13" t="s">
        <v>2886</v>
      </c>
      <c r="M889" s="12">
        <v>294</v>
      </c>
      <c r="N889" s="14">
        <v>0.45</v>
      </c>
      <c r="O889" s="12">
        <v>146</v>
      </c>
      <c r="P889" s="12">
        <v>216</v>
      </c>
      <c r="Q889" s="12">
        <v>14</v>
      </c>
      <c r="R889" s="13" t="s">
        <v>43</v>
      </c>
      <c r="S889" s="13"/>
      <c r="T889" s="15">
        <v>2000</v>
      </c>
      <c r="U889" s="13" t="s">
        <v>52</v>
      </c>
      <c r="V889" s="13" t="s">
        <v>59</v>
      </c>
      <c r="W889" s="12">
        <v>10</v>
      </c>
      <c r="X889" s="33" t="str">
        <f>HYPERLINK("https://www.alpinabook.ru/catalog/book-proiskhozhdenie-evolyutsii","ссылка на книгу")</f>
        <v>ссылка на книгу</v>
      </c>
      <c r="Y889" s="34" t="str">
        <f>HYPERLINK("https://api-enni.alpina.ru/FilePrivilegesApproval/185","https://api-enni.alpina.ru/FilePrivilegesApproval/185")</f>
        <v>https://api-enni.alpina.ru/FilePrivilegesApproval/185</v>
      </c>
      <c r="Z889" s="13"/>
      <c r="AT889" s="1">
        <f t="shared" si="133"/>
        <v>0</v>
      </c>
      <c r="AU889" s="1">
        <f t="shared" si="134"/>
        <v>0</v>
      </c>
      <c r="AV889" s="1">
        <f t="shared" si="135"/>
        <v>0</v>
      </c>
      <c r="AW889" s="1">
        <f t="shared" si="136"/>
        <v>0</v>
      </c>
      <c r="AX889" s="1">
        <f t="shared" si="137"/>
        <v>0</v>
      </c>
    </row>
    <row r="890" spans="1:50" s="1" customFormat="1" ht="24.95" customHeight="1" outlineLevel="3" x14ac:dyDescent="0.2">
      <c r="A890" s="11"/>
      <c r="B890" s="12">
        <v>740</v>
      </c>
      <c r="C890" s="12">
        <v>740</v>
      </c>
      <c r="D890" s="12">
        <v>17753</v>
      </c>
      <c r="E890" s="13" t="s">
        <v>2887</v>
      </c>
      <c r="F890" s="13" t="s">
        <v>2888</v>
      </c>
      <c r="G890" s="13" t="s">
        <v>86</v>
      </c>
      <c r="H890" s="13" t="s">
        <v>40</v>
      </c>
      <c r="I890" s="12">
        <v>2021</v>
      </c>
      <c r="J890" s="13" t="s">
        <v>2889</v>
      </c>
      <c r="K890" s="12">
        <v>9785001392446</v>
      </c>
      <c r="L890" s="13" t="s">
        <v>2890</v>
      </c>
      <c r="M890" s="12">
        <v>412</v>
      </c>
      <c r="N890" s="14">
        <v>0.59</v>
      </c>
      <c r="O890" s="12">
        <v>146</v>
      </c>
      <c r="P890" s="12">
        <v>216</v>
      </c>
      <c r="Q890" s="12">
        <v>10</v>
      </c>
      <c r="R890" s="13" t="s">
        <v>43</v>
      </c>
      <c r="S890" s="13"/>
      <c r="T890" s="15">
        <v>4000</v>
      </c>
      <c r="U890" s="13" t="s">
        <v>52</v>
      </c>
      <c r="V890" s="13" t="s">
        <v>59</v>
      </c>
      <c r="W890" s="12">
        <v>10</v>
      </c>
      <c r="X890" s="33" t="str">
        <f>HYPERLINK("https://www.alpinabook.ru/catalog/book-putevoditel-zoologa-po-galaktike","ссылка на книгу")</f>
        <v>ссылка на книгу</v>
      </c>
      <c r="Y890" s="34" t="str">
        <f>HYPERLINK("https://api-enni.alpina.ru/FilePrivilegesApproval/148","https://api-enni.alpina.ru/FilePrivilegesApproval/148")</f>
        <v>https://api-enni.alpina.ru/FilePrivilegesApproval/148</v>
      </c>
      <c r="Z890" s="13"/>
      <c r="AT890" s="1">
        <f t="shared" si="133"/>
        <v>0</v>
      </c>
      <c r="AU890" s="1">
        <f t="shared" si="134"/>
        <v>0</v>
      </c>
      <c r="AV890" s="1">
        <f t="shared" si="135"/>
        <v>0</v>
      </c>
      <c r="AW890" s="1">
        <f t="shared" si="136"/>
        <v>0</v>
      </c>
      <c r="AX890" s="1">
        <f t="shared" si="137"/>
        <v>0</v>
      </c>
    </row>
    <row r="891" spans="1:50" s="1" customFormat="1" ht="24.95" customHeight="1" outlineLevel="3" x14ac:dyDescent="0.2">
      <c r="A891" s="11"/>
      <c r="B891" s="12">
        <v>490</v>
      </c>
      <c r="C891" s="12">
        <v>740</v>
      </c>
      <c r="D891" s="12">
        <v>28147</v>
      </c>
      <c r="E891" s="13" t="s">
        <v>2891</v>
      </c>
      <c r="F891" s="13" t="s">
        <v>2892</v>
      </c>
      <c r="G891" s="13" t="s">
        <v>56</v>
      </c>
      <c r="H891" s="13"/>
      <c r="I891" s="12">
        <v>2023</v>
      </c>
      <c r="J891" s="13" t="s">
        <v>2893</v>
      </c>
      <c r="K891" s="12">
        <v>9785961487404</v>
      </c>
      <c r="L891" s="13" t="s">
        <v>2894</v>
      </c>
      <c r="M891" s="12">
        <v>336</v>
      </c>
      <c r="N891" s="14">
        <v>0.7</v>
      </c>
      <c r="O891" s="12">
        <v>170</v>
      </c>
      <c r="P891" s="12">
        <v>240</v>
      </c>
      <c r="Q891" s="12">
        <v>6</v>
      </c>
      <c r="R891" s="13" t="s">
        <v>94</v>
      </c>
      <c r="S891" s="13"/>
      <c r="T891" s="15">
        <v>2000</v>
      </c>
      <c r="U891" s="13" t="s">
        <v>44</v>
      </c>
      <c r="V891" s="13" t="s">
        <v>45</v>
      </c>
      <c r="W891" s="12">
        <v>10</v>
      </c>
      <c r="X891" s="33" t="str">
        <f>HYPERLINK("https://www.alpinabook.ru/catalog/book-pyat-litrov-krasnogo","ссылка на книгу")</f>
        <v>ссылка на книгу</v>
      </c>
      <c r="Y891" s="34" t="str">
        <f>HYPERLINK("https://api-enni.alpina.ru/FilePrivilegesApproval/231","https://api-enni.alpina.ru/FilePrivilegesApproval/231")</f>
        <v>https://api-enni.alpina.ru/FilePrivilegesApproval/231</v>
      </c>
      <c r="Z891" s="13"/>
      <c r="AT891" s="1">
        <f t="shared" si="133"/>
        <v>0</v>
      </c>
      <c r="AU891" s="1">
        <f t="shared" si="134"/>
        <v>0</v>
      </c>
      <c r="AV891" s="1">
        <f t="shared" si="135"/>
        <v>0</v>
      </c>
      <c r="AW891" s="1">
        <f t="shared" si="136"/>
        <v>0</v>
      </c>
      <c r="AX891" s="1">
        <f t="shared" si="137"/>
        <v>0</v>
      </c>
    </row>
    <row r="892" spans="1:50" s="1" customFormat="1" ht="24.95" customHeight="1" outlineLevel="3" x14ac:dyDescent="0.2">
      <c r="A892" s="11"/>
      <c r="B892" s="12">
        <v>840</v>
      </c>
      <c r="C892" s="15">
        <v>1190</v>
      </c>
      <c r="D892" s="12">
        <v>23609</v>
      </c>
      <c r="E892" s="13" t="s">
        <v>2895</v>
      </c>
      <c r="F892" s="13" t="s">
        <v>2896</v>
      </c>
      <c r="G892" s="13" t="s">
        <v>86</v>
      </c>
      <c r="H892" s="13" t="s">
        <v>40</v>
      </c>
      <c r="I892" s="12">
        <v>2024</v>
      </c>
      <c r="J892" s="13" t="s">
        <v>2897</v>
      </c>
      <c r="K892" s="12">
        <v>9785002231171</v>
      </c>
      <c r="L892" s="13" t="s">
        <v>2898</v>
      </c>
      <c r="M892" s="12">
        <v>652</v>
      </c>
      <c r="N892" s="14">
        <v>0.74</v>
      </c>
      <c r="O892" s="12">
        <v>150</v>
      </c>
      <c r="P892" s="12">
        <v>220</v>
      </c>
      <c r="Q892" s="12">
        <v>8</v>
      </c>
      <c r="R892" s="13" t="s">
        <v>43</v>
      </c>
      <c r="S892" s="13"/>
      <c r="T892" s="15">
        <v>3000</v>
      </c>
      <c r="U892" s="13" t="s">
        <v>52</v>
      </c>
      <c r="V892" s="13" t="s">
        <v>59</v>
      </c>
      <c r="W892" s="12">
        <v>10</v>
      </c>
      <c r="X892" s="33" t="str">
        <f>HYPERLINK("https://www.alpinabook.ru/catalog/book-redaktiruya-chelovechestvo","ссылка на книгу")</f>
        <v>ссылка на книгу</v>
      </c>
      <c r="Y892" s="34" t="str">
        <f>HYPERLINK("https://api-enni.alpina.ru/FilePrivilegesApproval/317","https://api-enni.alpina.ru/FilePrivilegesApproval/317")</f>
        <v>https://api-enni.alpina.ru/FilePrivilegesApproval/317</v>
      </c>
      <c r="Z892" s="13"/>
      <c r="AT892" s="1">
        <f t="shared" si="133"/>
        <v>0</v>
      </c>
      <c r="AU892" s="1">
        <f t="shared" si="134"/>
        <v>0</v>
      </c>
      <c r="AV892" s="1">
        <f t="shared" si="135"/>
        <v>0</v>
      </c>
      <c r="AW892" s="1">
        <f t="shared" si="136"/>
        <v>0</v>
      </c>
      <c r="AX892" s="1">
        <f t="shared" si="137"/>
        <v>0</v>
      </c>
    </row>
    <row r="893" spans="1:50" s="1" customFormat="1" ht="24.95" customHeight="1" outlineLevel="3" x14ac:dyDescent="0.2">
      <c r="A893" s="11"/>
      <c r="B893" s="12">
        <v>940</v>
      </c>
      <c r="C893" s="12">
        <v>940</v>
      </c>
      <c r="D893" s="12">
        <v>26592</v>
      </c>
      <c r="E893" s="13" t="s">
        <v>2899</v>
      </c>
      <c r="F893" s="13" t="s">
        <v>2900</v>
      </c>
      <c r="G893" s="13" t="s">
        <v>97</v>
      </c>
      <c r="H893" s="13"/>
      <c r="I893" s="12">
        <v>2023</v>
      </c>
      <c r="J893" s="13" t="s">
        <v>2901</v>
      </c>
      <c r="K893" s="12">
        <v>9785206000931</v>
      </c>
      <c r="L893" s="13" t="s">
        <v>2902</v>
      </c>
      <c r="M893" s="12">
        <v>156</v>
      </c>
      <c r="N893" s="14">
        <v>0.45</v>
      </c>
      <c r="O893" s="12">
        <v>168</v>
      </c>
      <c r="P893" s="12">
        <v>241</v>
      </c>
      <c r="Q893" s="12">
        <v>6</v>
      </c>
      <c r="R893" s="13" t="s">
        <v>94</v>
      </c>
      <c r="S893" s="13"/>
      <c r="T893" s="15">
        <v>1010</v>
      </c>
      <c r="U893" s="13" t="s">
        <v>52</v>
      </c>
      <c r="V893" s="13" t="s">
        <v>59</v>
      </c>
      <c r="W893" s="12">
        <v>10</v>
      </c>
      <c r="X893" s="33" t="str">
        <f>HYPERLINK("https://www.alpinabook.ru/catalog/book-rekomendatsii-po-terapii-na-apparate-kibernozh","ссылка на книгу")</f>
        <v>ссылка на книгу</v>
      </c>
      <c r="Y893" s="34" t="str">
        <f>HYPERLINK("https://api-enni.alpina.ru/FilePrivilegesApproval/168","https://api-enni.alpina.ru/FilePrivilegesApproval/168")</f>
        <v>https://api-enni.alpina.ru/FilePrivilegesApproval/168</v>
      </c>
      <c r="Z893" s="13"/>
      <c r="AT893" s="1">
        <f t="shared" ref="AT893:AT915" si="138">IF($A893&lt;&gt;0,1,0)</f>
        <v>0</v>
      </c>
      <c r="AU893" s="1">
        <f t="shared" ref="AU893:AU915" si="139">$A893*$B893</f>
        <v>0</v>
      </c>
      <c r="AV893" s="1">
        <f t="shared" ref="AV893:AV915" si="140">$A893*$N893</f>
        <v>0</v>
      </c>
      <c r="AW893" s="1">
        <f t="shared" ref="AW893:AW915" si="141">IF($Q893=0,0,INT($A893/$Q893))</f>
        <v>0</v>
      </c>
      <c r="AX893" s="1">
        <f t="shared" ref="AX893:AX915" si="142">$A893-$AW893*$Q893</f>
        <v>0</v>
      </c>
    </row>
    <row r="894" spans="1:50" s="1" customFormat="1" ht="24.95" customHeight="1" outlineLevel="3" x14ac:dyDescent="0.2">
      <c r="A894" s="11"/>
      <c r="B894" s="12">
        <v>790</v>
      </c>
      <c r="C894" s="12">
        <v>890</v>
      </c>
      <c r="D894" s="12">
        <v>20971</v>
      </c>
      <c r="E894" s="13" t="s">
        <v>2903</v>
      </c>
      <c r="F894" s="13" t="s">
        <v>2904</v>
      </c>
      <c r="G894" s="13" t="s">
        <v>86</v>
      </c>
      <c r="H894" s="13" t="s">
        <v>40</v>
      </c>
      <c r="I894" s="12">
        <v>2023</v>
      </c>
      <c r="J894" s="13" t="s">
        <v>2905</v>
      </c>
      <c r="K894" s="12">
        <v>9785001397908</v>
      </c>
      <c r="L894" s="13" t="s">
        <v>2906</v>
      </c>
      <c r="M894" s="12">
        <v>546</v>
      </c>
      <c r="N894" s="14">
        <v>0.7</v>
      </c>
      <c r="O894" s="12">
        <v>146</v>
      </c>
      <c r="P894" s="12">
        <v>216</v>
      </c>
      <c r="Q894" s="12">
        <v>6</v>
      </c>
      <c r="R894" s="13" t="s">
        <v>43</v>
      </c>
      <c r="S894" s="13"/>
      <c r="T894" s="15">
        <v>3000</v>
      </c>
      <c r="U894" s="13" t="s">
        <v>52</v>
      </c>
      <c r="V894" s="13" t="s">
        <v>45</v>
      </c>
      <c r="W894" s="12">
        <v>10</v>
      </c>
      <c r="X894" s="33" t="str">
        <f>HYPERLINK("https://www.alpinabook.ru/catalog/book-rodnya","ссылка на книгу")</f>
        <v>ссылка на книгу</v>
      </c>
      <c r="Y894" s="34" t="str">
        <f>HYPERLINK("https://api-enni.alpina.ru/FilePrivilegesApproval/197","https://api-enni.alpina.ru/FilePrivilegesApproval/197")</f>
        <v>https://api-enni.alpina.ru/FilePrivilegesApproval/197</v>
      </c>
      <c r="Z894" s="13"/>
      <c r="AT894" s="1">
        <f t="shared" si="138"/>
        <v>0</v>
      </c>
      <c r="AU894" s="1">
        <f t="shared" si="139"/>
        <v>0</v>
      </c>
      <c r="AV894" s="1">
        <f t="shared" si="140"/>
        <v>0</v>
      </c>
      <c r="AW894" s="1">
        <f t="shared" si="141"/>
        <v>0</v>
      </c>
      <c r="AX894" s="1">
        <f t="shared" si="142"/>
        <v>0</v>
      </c>
    </row>
    <row r="895" spans="1:50" s="1" customFormat="1" ht="24.95" customHeight="1" outlineLevel="3" x14ac:dyDescent="0.2">
      <c r="A895" s="11"/>
      <c r="B895" s="12">
        <v>390</v>
      </c>
      <c r="C895" s="12">
        <v>590</v>
      </c>
      <c r="D895" s="12">
        <v>29729</v>
      </c>
      <c r="E895" s="13" t="s">
        <v>2907</v>
      </c>
      <c r="F895" s="13" t="s">
        <v>2908</v>
      </c>
      <c r="G895" s="13" t="s">
        <v>86</v>
      </c>
      <c r="H895" s="13"/>
      <c r="I895" s="12">
        <v>2024</v>
      </c>
      <c r="J895" s="13" t="s">
        <v>2909</v>
      </c>
      <c r="K895" s="12">
        <v>9785002231720</v>
      </c>
      <c r="L895" s="13" t="s">
        <v>2910</v>
      </c>
      <c r="M895" s="12">
        <v>400</v>
      </c>
      <c r="N895" s="14">
        <v>0.26</v>
      </c>
      <c r="O895" s="12">
        <v>120</v>
      </c>
      <c r="P895" s="12">
        <v>170</v>
      </c>
      <c r="Q895" s="12">
        <v>12</v>
      </c>
      <c r="R895" s="13" t="s">
        <v>75</v>
      </c>
      <c r="S895" s="13" t="s">
        <v>2911</v>
      </c>
      <c r="T895" s="15">
        <v>4000</v>
      </c>
      <c r="U895" s="13" t="s">
        <v>44</v>
      </c>
      <c r="V895" s="13" t="s">
        <v>45</v>
      </c>
      <c r="W895" s="12">
        <v>10</v>
      </c>
      <c r="X895" s="33" t="str">
        <f>HYPERLINK("https://www.alpinabook.ru/catalog/book-samaya-glavnaya-molekula","ссылка на книгу")</f>
        <v>ссылка на книгу</v>
      </c>
      <c r="Y895" s="34" t="str">
        <f>HYPERLINK("https://api-enni.alpina.ru/FilePrivilegesApproval/217","https://api-enni.alpina.ru/FilePrivilegesApproval/217")</f>
        <v>https://api-enni.alpina.ru/FilePrivilegesApproval/217</v>
      </c>
      <c r="Z895" s="13"/>
      <c r="AT895" s="1">
        <f t="shared" si="138"/>
        <v>0</v>
      </c>
      <c r="AU895" s="1">
        <f t="shared" si="139"/>
        <v>0</v>
      </c>
      <c r="AV895" s="1">
        <f t="shared" si="140"/>
        <v>0</v>
      </c>
      <c r="AW895" s="1">
        <f t="shared" si="141"/>
        <v>0</v>
      </c>
      <c r="AX895" s="1">
        <f t="shared" si="142"/>
        <v>0</v>
      </c>
    </row>
    <row r="896" spans="1:50" s="1" customFormat="1" ht="24.95" customHeight="1" outlineLevel="3" x14ac:dyDescent="0.2">
      <c r="A896" s="11"/>
      <c r="B896" s="12">
        <v>690</v>
      </c>
      <c r="C896" s="12">
        <v>990</v>
      </c>
      <c r="D896" s="12">
        <v>27614</v>
      </c>
      <c r="E896" s="13" t="s">
        <v>2912</v>
      </c>
      <c r="F896" s="13" t="s">
        <v>2913</v>
      </c>
      <c r="G896" s="13" t="s">
        <v>86</v>
      </c>
      <c r="H896" s="13"/>
      <c r="I896" s="12">
        <v>2023</v>
      </c>
      <c r="J896" s="13" t="s">
        <v>2914</v>
      </c>
      <c r="K896" s="12">
        <v>9785001399353</v>
      </c>
      <c r="L896" s="13" t="s">
        <v>2915</v>
      </c>
      <c r="M896" s="12">
        <v>456</v>
      </c>
      <c r="N896" s="14">
        <v>0.63</v>
      </c>
      <c r="O896" s="12">
        <v>150</v>
      </c>
      <c r="P896" s="12">
        <v>220</v>
      </c>
      <c r="Q896" s="12">
        <v>10</v>
      </c>
      <c r="R896" s="13" t="s">
        <v>43</v>
      </c>
      <c r="S896" s="13"/>
      <c r="T896" s="15">
        <v>3000</v>
      </c>
      <c r="U896" s="13" t="s">
        <v>52</v>
      </c>
      <c r="V896" s="13" t="s">
        <v>89</v>
      </c>
      <c r="W896" s="12">
        <v>10</v>
      </c>
      <c r="X896" s="33" t="str">
        <f>HYPERLINK("https://www.alpinabook.ru/catalog/book-seks-s-uchenymi","ссылка на книгу")</f>
        <v>ссылка на книгу</v>
      </c>
      <c r="Y896" s="34" t="str">
        <f>HYPERLINK("https://api-enni.alpina.ru/FilePrivilegesApproval/364","https://api-enni.alpina.ru/FilePrivilegesApproval/364")</f>
        <v>https://api-enni.alpina.ru/FilePrivilegesApproval/364</v>
      </c>
      <c r="Z896" s="13"/>
      <c r="AT896" s="1">
        <f t="shared" si="138"/>
        <v>0</v>
      </c>
      <c r="AU896" s="1">
        <f t="shared" si="139"/>
        <v>0</v>
      </c>
      <c r="AV896" s="1">
        <f t="shared" si="140"/>
        <v>0</v>
      </c>
      <c r="AW896" s="1">
        <f t="shared" si="141"/>
        <v>0</v>
      </c>
      <c r="AX896" s="1">
        <f t="shared" si="142"/>
        <v>0</v>
      </c>
    </row>
    <row r="897" spans="1:50" s="1" customFormat="1" ht="24.95" customHeight="1" outlineLevel="3" x14ac:dyDescent="0.2">
      <c r="A897" s="11"/>
      <c r="B897" s="12">
        <v>590</v>
      </c>
      <c r="C897" s="12">
        <v>890</v>
      </c>
      <c r="D897" s="12">
        <v>11846</v>
      </c>
      <c r="E897" s="13" t="s">
        <v>2916</v>
      </c>
      <c r="F897" s="13" t="s">
        <v>2917</v>
      </c>
      <c r="G897" s="13" t="s">
        <v>86</v>
      </c>
      <c r="H897" s="13" t="s">
        <v>40</v>
      </c>
      <c r="I897" s="12">
        <v>2020</v>
      </c>
      <c r="J897" s="13" t="s">
        <v>2918</v>
      </c>
      <c r="K897" s="12">
        <v>9785001392835</v>
      </c>
      <c r="L897" s="13" t="s">
        <v>2919</v>
      </c>
      <c r="M897" s="12">
        <v>402</v>
      </c>
      <c r="N897" s="14">
        <v>0.59</v>
      </c>
      <c r="O897" s="12">
        <v>146</v>
      </c>
      <c r="P897" s="12">
        <v>216</v>
      </c>
      <c r="Q897" s="12">
        <v>10</v>
      </c>
      <c r="R897" s="13" t="s">
        <v>43</v>
      </c>
      <c r="S897" s="13"/>
      <c r="T897" s="15">
        <v>3000</v>
      </c>
      <c r="U897" s="13" t="s">
        <v>52</v>
      </c>
      <c r="V897" s="13" t="s">
        <v>59</v>
      </c>
      <c r="W897" s="12">
        <v>10</v>
      </c>
      <c r="X897" s="33" t="str">
        <f>HYPERLINK("https://www.alpinabook.ru/catalog/book-655918","ссылка на книгу")</f>
        <v>ссылка на книгу</v>
      </c>
      <c r="Y897" s="34" t="str">
        <f>HYPERLINK("https://api-enni.alpina.ru/FilePrivilegesApproval/259","https://api-enni.alpina.ru/FilePrivilegesApproval/259")</f>
        <v>https://api-enni.alpina.ru/FilePrivilegesApproval/259</v>
      </c>
      <c r="Z897" s="13"/>
      <c r="AT897" s="1">
        <f t="shared" si="138"/>
        <v>0</v>
      </c>
      <c r="AU897" s="1">
        <f t="shared" si="139"/>
        <v>0</v>
      </c>
      <c r="AV897" s="1">
        <f t="shared" si="140"/>
        <v>0</v>
      </c>
      <c r="AW897" s="1">
        <f t="shared" si="141"/>
        <v>0</v>
      </c>
      <c r="AX897" s="1">
        <f t="shared" si="142"/>
        <v>0</v>
      </c>
    </row>
    <row r="898" spans="1:50" s="1" customFormat="1" ht="24.95" customHeight="1" outlineLevel="3" x14ac:dyDescent="0.2">
      <c r="A898" s="11"/>
      <c r="B898" s="12">
        <v>790</v>
      </c>
      <c r="C898" s="15">
        <v>1190</v>
      </c>
      <c r="D898" s="12">
        <v>24313</v>
      </c>
      <c r="E898" s="13" t="s">
        <v>2920</v>
      </c>
      <c r="F898" s="13" t="s">
        <v>2921</v>
      </c>
      <c r="G898" s="13" t="s">
        <v>86</v>
      </c>
      <c r="H898" s="13" t="s">
        <v>40</v>
      </c>
      <c r="I898" s="12">
        <v>2025</v>
      </c>
      <c r="J898" s="13" t="s">
        <v>2922</v>
      </c>
      <c r="K898" s="12">
        <v>9785001395737</v>
      </c>
      <c r="L898" s="13" t="s">
        <v>2923</v>
      </c>
      <c r="M898" s="12">
        <v>504</v>
      </c>
      <c r="N898" s="14">
        <v>0.7</v>
      </c>
      <c r="O898" s="12">
        <v>150</v>
      </c>
      <c r="P898" s="12">
        <v>220</v>
      </c>
      <c r="Q898" s="12">
        <v>8</v>
      </c>
      <c r="R898" s="13" t="s">
        <v>43</v>
      </c>
      <c r="S898" s="13"/>
      <c r="T898" s="15">
        <v>2000</v>
      </c>
      <c r="U898" s="13" t="s">
        <v>52</v>
      </c>
      <c r="V898" s="13" t="s">
        <v>45</v>
      </c>
      <c r="W898" s="12">
        <v>10</v>
      </c>
      <c r="X898" s="33" t="str">
        <f>HYPERLINK("https://www.alpinabook.ru/catalog/book-skrytyy-istochnik-soznaniya","ссылка на книгу")</f>
        <v>ссылка на книгу</v>
      </c>
      <c r="Y898" s="34" t="str">
        <f>HYPERLINK("https://api-enni.alpina.ru/FilePrivilegesApproval/776","https://api-enni.alpina.ru/FilePrivilegesApproval/776")</f>
        <v>https://api-enni.alpina.ru/FilePrivilegesApproval/776</v>
      </c>
      <c r="Z898" s="13" t="s">
        <v>567</v>
      </c>
      <c r="AT898" s="1">
        <f t="shared" si="138"/>
        <v>0</v>
      </c>
      <c r="AU898" s="1">
        <f t="shared" si="139"/>
        <v>0</v>
      </c>
      <c r="AV898" s="1">
        <f t="shared" si="140"/>
        <v>0</v>
      </c>
      <c r="AW898" s="1">
        <f t="shared" si="141"/>
        <v>0</v>
      </c>
      <c r="AX898" s="1">
        <f t="shared" si="142"/>
        <v>0</v>
      </c>
    </row>
    <row r="899" spans="1:50" s="1" customFormat="1" ht="24.95" customHeight="1" outlineLevel="3" x14ac:dyDescent="0.2">
      <c r="A899" s="11"/>
      <c r="B899" s="12">
        <v>340</v>
      </c>
      <c r="C899" s="12">
        <v>540</v>
      </c>
      <c r="D899" s="12">
        <v>29896</v>
      </c>
      <c r="E899" s="13" t="s">
        <v>2924</v>
      </c>
      <c r="F899" s="13" t="s">
        <v>2925</v>
      </c>
      <c r="G899" s="13" t="s">
        <v>86</v>
      </c>
      <c r="H899" s="13" t="s">
        <v>40</v>
      </c>
      <c r="I899" s="12">
        <v>2024</v>
      </c>
      <c r="J899" s="13" t="s">
        <v>2926</v>
      </c>
      <c r="K899" s="12">
        <v>9785002232031</v>
      </c>
      <c r="L899" s="13" t="s">
        <v>2927</v>
      </c>
      <c r="M899" s="12">
        <v>320</v>
      </c>
      <c r="N899" s="14">
        <v>0.21</v>
      </c>
      <c r="O899" s="12">
        <v>120</v>
      </c>
      <c r="P899" s="12">
        <v>170</v>
      </c>
      <c r="Q899" s="12">
        <v>16</v>
      </c>
      <c r="R899" s="13" t="s">
        <v>75</v>
      </c>
      <c r="S899" s="13" t="s">
        <v>76</v>
      </c>
      <c r="T899" s="15">
        <v>2000</v>
      </c>
      <c r="U899" s="13" t="s">
        <v>44</v>
      </c>
      <c r="V899" s="13" t="s">
        <v>45</v>
      </c>
      <c r="W899" s="12">
        <v>10</v>
      </c>
      <c r="X899" s="33" t="str">
        <f>HYPERLINK("https://www.alpinabook.ru/catalog/book-sovest","ссылка на книгу")</f>
        <v>ссылка на книгу</v>
      </c>
      <c r="Y899" s="34" t="str">
        <f>HYPERLINK("https://api-enni.alpina.ru/FilePrivilegesApproval/259","https://api-enni.alpina.ru/FilePrivilegesApproval/259")</f>
        <v>https://api-enni.alpina.ru/FilePrivilegesApproval/259</v>
      </c>
      <c r="Z899" s="13"/>
      <c r="AT899" s="1">
        <f t="shared" si="138"/>
        <v>0</v>
      </c>
      <c r="AU899" s="1">
        <f t="shared" si="139"/>
        <v>0</v>
      </c>
      <c r="AV899" s="1">
        <f t="shared" si="140"/>
        <v>0</v>
      </c>
      <c r="AW899" s="1">
        <f t="shared" si="141"/>
        <v>0</v>
      </c>
      <c r="AX899" s="1">
        <f t="shared" si="142"/>
        <v>0</v>
      </c>
    </row>
    <row r="900" spans="1:50" s="1" customFormat="1" ht="24.95" customHeight="1" outlineLevel="3" x14ac:dyDescent="0.2">
      <c r="A900" s="11"/>
      <c r="B900" s="12">
        <v>690</v>
      </c>
      <c r="C900" s="12">
        <v>690</v>
      </c>
      <c r="D900" s="12">
        <v>17577</v>
      </c>
      <c r="E900" s="13" t="s">
        <v>2928</v>
      </c>
      <c r="F900" s="13" t="s">
        <v>2929</v>
      </c>
      <c r="G900" s="13" t="s">
        <v>86</v>
      </c>
      <c r="H900" s="13" t="s">
        <v>40</v>
      </c>
      <c r="I900" s="12">
        <v>2021</v>
      </c>
      <c r="J900" s="13" t="s">
        <v>2930</v>
      </c>
      <c r="K900" s="12">
        <v>9785001393641</v>
      </c>
      <c r="L900" s="13" t="s">
        <v>2931</v>
      </c>
      <c r="M900" s="12">
        <v>412</v>
      </c>
      <c r="N900" s="14">
        <v>0.52</v>
      </c>
      <c r="O900" s="12">
        <v>146</v>
      </c>
      <c r="P900" s="12">
        <v>216</v>
      </c>
      <c r="Q900" s="12">
        <v>10</v>
      </c>
      <c r="R900" s="13" t="s">
        <v>43</v>
      </c>
      <c r="S900" s="13" t="s">
        <v>2618</v>
      </c>
      <c r="T900" s="15">
        <v>3000</v>
      </c>
      <c r="U900" s="13" t="s">
        <v>52</v>
      </c>
      <c r="V900" s="13" t="s">
        <v>45</v>
      </c>
      <c r="W900" s="12">
        <v>10</v>
      </c>
      <c r="X900" s="33" t="str">
        <f>HYPERLINK("https://www.alpinabook.ru/catalog/book-695937","ссылка на книгу")</f>
        <v>ссылка на книгу</v>
      </c>
      <c r="Y900" s="34" t="str">
        <f>HYPERLINK("https://api-enni.alpina.ru/FilePrivilegesApproval/258","https://api-enni.alpina.ru/FilePrivilegesApproval/258")</f>
        <v>https://api-enni.alpina.ru/FilePrivilegesApproval/258</v>
      </c>
      <c r="Z900" s="13"/>
      <c r="AT900" s="1">
        <f t="shared" si="138"/>
        <v>0</v>
      </c>
      <c r="AU900" s="1">
        <f t="shared" si="139"/>
        <v>0</v>
      </c>
      <c r="AV900" s="1">
        <f t="shared" si="140"/>
        <v>0</v>
      </c>
      <c r="AW900" s="1">
        <f t="shared" si="141"/>
        <v>0</v>
      </c>
      <c r="AX900" s="1">
        <f t="shared" si="142"/>
        <v>0</v>
      </c>
    </row>
    <row r="901" spans="1:50" s="1" customFormat="1" ht="24.95" customHeight="1" outlineLevel="3" x14ac:dyDescent="0.2">
      <c r="A901" s="11"/>
      <c r="B901" s="12">
        <v>690</v>
      </c>
      <c r="C901" s="12">
        <v>990</v>
      </c>
      <c r="D901" s="12">
        <v>24234</v>
      </c>
      <c r="E901" s="13" t="s">
        <v>2932</v>
      </c>
      <c r="F901" s="13" t="s">
        <v>2933</v>
      </c>
      <c r="G901" s="13" t="s">
        <v>86</v>
      </c>
      <c r="H901" s="13" t="s">
        <v>40</v>
      </c>
      <c r="I901" s="12">
        <v>2025</v>
      </c>
      <c r="J901" s="13" t="s">
        <v>2934</v>
      </c>
      <c r="K901" s="12">
        <v>9785001398660</v>
      </c>
      <c r="L901" s="13" t="s">
        <v>2935</v>
      </c>
      <c r="M901" s="12">
        <v>384</v>
      </c>
      <c r="N901" s="14">
        <v>0.46</v>
      </c>
      <c r="O901" s="12">
        <v>140</v>
      </c>
      <c r="P901" s="12">
        <v>210</v>
      </c>
      <c r="Q901" s="12">
        <v>5</v>
      </c>
      <c r="R901" s="13" t="s">
        <v>43</v>
      </c>
      <c r="S901" s="13" t="s">
        <v>2690</v>
      </c>
      <c r="T901" s="15">
        <v>1000</v>
      </c>
      <c r="U901" s="13" t="s">
        <v>44</v>
      </c>
      <c r="V901" s="13" t="s">
        <v>45</v>
      </c>
      <c r="W901" s="12">
        <v>10</v>
      </c>
      <c r="X901" s="33" t="str">
        <f>HYPERLINK("https://www.alpinabook.ru/catalog/book-sovy-vo-ldakh","ссылка на книгу")</f>
        <v>ссылка на книгу</v>
      </c>
      <c r="Y901" s="34" t="str">
        <f>HYPERLINK("https://api-enni.alpina.ru/FilePrivilegesApproval/317","https://api-enni.alpina.ru/FilePrivilegesApproval/317")</f>
        <v>https://api-enni.alpina.ru/FilePrivilegesApproval/317</v>
      </c>
      <c r="Z901" s="13" t="s">
        <v>2936</v>
      </c>
      <c r="AT901" s="1">
        <f t="shared" si="138"/>
        <v>0</v>
      </c>
      <c r="AU901" s="1">
        <f t="shared" si="139"/>
        <v>0</v>
      </c>
      <c r="AV901" s="1">
        <f t="shared" si="140"/>
        <v>0</v>
      </c>
      <c r="AW901" s="1">
        <f t="shared" si="141"/>
        <v>0</v>
      </c>
      <c r="AX901" s="1">
        <f t="shared" si="142"/>
        <v>0</v>
      </c>
    </row>
    <row r="902" spans="1:50" s="1" customFormat="1" ht="24.95" customHeight="1" outlineLevel="3" x14ac:dyDescent="0.2">
      <c r="A902" s="11"/>
      <c r="B902" s="12">
        <v>790</v>
      </c>
      <c r="C902" s="15">
        <v>1090</v>
      </c>
      <c r="D902" s="12">
        <v>8187</v>
      </c>
      <c r="E902" s="13" t="s">
        <v>2751</v>
      </c>
      <c r="F902" s="13" t="s">
        <v>2937</v>
      </c>
      <c r="G902" s="13" t="s">
        <v>86</v>
      </c>
      <c r="H902" s="13"/>
      <c r="I902" s="12">
        <v>2025</v>
      </c>
      <c r="J902" s="13" t="s">
        <v>2938</v>
      </c>
      <c r="K902" s="12">
        <v>9785916719024</v>
      </c>
      <c r="L902" s="13" t="s">
        <v>2939</v>
      </c>
      <c r="M902" s="12">
        <v>514</v>
      </c>
      <c r="N902" s="14">
        <v>0.72</v>
      </c>
      <c r="O902" s="12">
        <v>150</v>
      </c>
      <c r="P902" s="12">
        <v>220</v>
      </c>
      <c r="Q902" s="12">
        <v>4</v>
      </c>
      <c r="R902" s="13" t="s">
        <v>43</v>
      </c>
      <c r="S902" s="13"/>
      <c r="T902" s="15">
        <v>1000</v>
      </c>
      <c r="U902" s="13" t="s">
        <v>52</v>
      </c>
      <c r="V902" s="13" t="s">
        <v>59</v>
      </c>
      <c r="W902" s="12">
        <v>10</v>
      </c>
      <c r="X902" s="33" t="str">
        <f>HYPERLINK("https://www.alpinabook.ru/catalog/book-sotvorenie-zemli","ссылка на книгу")</f>
        <v>ссылка на книгу</v>
      </c>
      <c r="Y902" s="34" t="str">
        <f>HYPERLINK("https://api-enni.alpina.ru/FilePrivilegesApproval/5","https://api-enni.alpina.ru/FilePrivilegesApproval/5")</f>
        <v>https://api-enni.alpina.ru/FilePrivilegesApproval/5</v>
      </c>
      <c r="Z902" s="13" t="s">
        <v>2940</v>
      </c>
      <c r="AT902" s="1">
        <f t="shared" si="138"/>
        <v>0</v>
      </c>
      <c r="AU902" s="1">
        <f t="shared" si="139"/>
        <v>0</v>
      </c>
      <c r="AV902" s="1">
        <f t="shared" si="140"/>
        <v>0</v>
      </c>
      <c r="AW902" s="1">
        <f t="shared" si="141"/>
        <v>0</v>
      </c>
      <c r="AX902" s="1">
        <f t="shared" si="142"/>
        <v>0</v>
      </c>
    </row>
    <row r="903" spans="1:50" s="1" customFormat="1" ht="24.95" customHeight="1" outlineLevel="3" x14ac:dyDescent="0.2">
      <c r="A903" s="11"/>
      <c r="B903" s="12">
        <v>640</v>
      </c>
      <c r="C903" s="12">
        <v>990</v>
      </c>
      <c r="D903" s="12">
        <v>18182</v>
      </c>
      <c r="E903" s="13" t="s">
        <v>2941</v>
      </c>
      <c r="F903" s="13" t="s">
        <v>2942</v>
      </c>
      <c r="G903" s="13" t="s">
        <v>86</v>
      </c>
      <c r="H903" s="13"/>
      <c r="I903" s="12">
        <v>2021</v>
      </c>
      <c r="J903" s="13" t="s">
        <v>2943</v>
      </c>
      <c r="K903" s="12">
        <v>9785001393023</v>
      </c>
      <c r="L903" s="13" t="s">
        <v>2944</v>
      </c>
      <c r="M903" s="12">
        <v>576</v>
      </c>
      <c r="N903" s="14">
        <v>0.48</v>
      </c>
      <c r="O903" s="12">
        <v>146</v>
      </c>
      <c r="P903" s="12">
        <v>216</v>
      </c>
      <c r="Q903" s="12">
        <v>18</v>
      </c>
      <c r="R903" s="13" t="s">
        <v>43</v>
      </c>
      <c r="S903" s="13"/>
      <c r="T903" s="15">
        <v>1500</v>
      </c>
      <c r="U903" s="13" t="s">
        <v>52</v>
      </c>
      <c r="V903" s="13" t="s">
        <v>59</v>
      </c>
      <c r="W903" s="12">
        <v>10</v>
      </c>
      <c r="X903" s="33" t="str">
        <f>HYPERLINK("https://www.alpinabook.ru/catalog/book-643609","ссылка на книгу")</f>
        <v>ссылка на книгу</v>
      </c>
      <c r="Y903" s="34" t="str">
        <f>HYPERLINK("https://api-enni.alpina.ru/FilePrivilegesApproval/253","https://api-enni.alpina.ru/FilePrivilegesApproval/253")</f>
        <v>https://api-enni.alpina.ru/FilePrivilegesApproval/253</v>
      </c>
      <c r="Z903" s="13"/>
      <c r="AT903" s="1">
        <f t="shared" si="138"/>
        <v>0</v>
      </c>
      <c r="AU903" s="1">
        <f t="shared" si="139"/>
        <v>0</v>
      </c>
      <c r="AV903" s="1">
        <f t="shared" si="140"/>
        <v>0</v>
      </c>
      <c r="AW903" s="1">
        <f t="shared" si="141"/>
        <v>0</v>
      </c>
      <c r="AX903" s="1">
        <f t="shared" si="142"/>
        <v>0</v>
      </c>
    </row>
    <row r="904" spans="1:50" s="1" customFormat="1" ht="24.95" customHeight="1" outlineLevel="3" x14ac:dyDescent="0.2">
      <c r="A904" s="11"/>
      <c r="B904" s="12">
        <v>840</v>
      </c>
      <c r="C904" s="15">
        <v>1190</v>
      </c>
      <c r="D904" s="12">
        <v>25035</v>
      </c>
      <c r="E904" s="13" t="s">
        <v>2945</v>
      </c>
      <c r="F904" s="13" t="s">
        <v>2946</v>
      </c>
      <c r="G904" s="13" t="s">
        <v>86</v>
      </c>
      <c r="H904" s="13" t="s">
        <v>40</v>
      </c>
      <c r="I904" s="12">
        <v>2023</v>
      </c>
      <c r="J904" s="13" t="s">
        <v>2947</v>
      </c>
      <c r="K904" s="12">
        <v>9785001396390</v>
      </c>
      <c r="L904" s="13" t="s">
        <v>2948</v>
      </c>
      <c r="M904" s="12">
        <v>622</v>
      </c>
      <c r="N904" s="14">
        <v>0.64</v>
      </c>
      <c r="O904" s="12">
        <v>150</v>
      </c>
      <c r="P904" s="12">
        <v>220</v>
      </c>
      <c r="Q904" s="12">
        <v>8</v>
      </c>
      <c r="R904" s="13" t="s">
        <v>43</v>
      </c>
      <c r="S904" s="13"/>
      <c r="T904" s="15">
        <v>2000</v>
      </c>
      <c r="U904" s="13" t="s">
        <v>52</v>
      </c>
      <c r="V904" s="13" t="s">
        <v>59</v>
      </c>
      <c r="W904" s="12">
        <v>10</v>
      </c>
      <c r="X904" s="33" t="str">
        <f>HYPERLINK("https://www.alpinabook.ru/catalog/book-tayna-zhizni","ссылка на книгу")</f>
        <v>ссылка на книгу</v>
      </c>
      <c r="Y904" s="34" t="str">
        <f>HYPERLINK("https://api-enni.alpina.ru/FilePrivilegesApproval/171","https://api-enni.alpina.ru/FilePrivilegesApproval/171")</f>
        <v>https://api-enni.alpina.ru/FilePrivilegesApproval/171</v>
      </c>
      <c r="Z904" s="13"/>
      <c r="AT904" s="1">
        <f t="shared" si="138"/>
        <v>0</v>
      </c>
      <c r="AU904" s="1">
        <f t="shared" si="139"/>
        <v>0</v>
      </c>
      <c r="AV904" s="1">
        <f t="shared" si="140"/>
        <v>0</v>
      </c>
      <c r="AW904" s="1">
        <f t="shared" si="141"/>
        <v>0</v>
      </c>
      <c r="AX904" s="1">
        <f t="shared" si="142"/>
        <v>0</v>
      </c>
    </row>
    <row r="905" spans="1:50" s="1" customFormat="1" ht="24.95" customHeight="1" outlineLevel="3" x14ac:dyDescent="0.2">
      <c r="A905" s="11"/>
      <c r="B905" s="12">
        <v>840</v>
      </c>
      <c r="C905" s="15">
        <v>1190</v>
      </c>
      <c r="D905" s="12">
        <v>24050</v>
      </c>
      <c r="E905" s="13" t="s">
        <v>2949</v>
      </c>
      <c r="F905" s="13" t="s">
        <v>2950</v>
      </c>
      <c r="G905" s="13" t="s">
        <v>86</v>
      </c>
      <c r="H905" s="13" t="s">
        <v>40</v>
      </c>
      <c r="I905" s="12">
        <v>2024</v>
      </c>
      <c r="J905" s="13" t="s">
        <v>2951</v>
      </c>
      <c r="K905" s="12">
        <v>9785002231881</v>
      </c>
      <c r="L905" s="13" t="s">
        <v>2952</v>
      </c>
      <c r="M905" s="12">
        <v>400</v>
      </c>
      <c r="N905" s="14">
        <v>0.59</v>
      </c>
      <c r="O905" s="12">
        <v>150</v>
      </c>
      <c r="P905" s="12">
        <v>220</v>
      </c>
      <c r="Q905" s="12">
        <v>10</v>
      </c>
      <c r="R905" s="13" t="s">
        <v>43</v>
      </c>
      <c r="S905" s="13"/>
      <c r="T905" s="15">
        <v>3000</v>
      </c>
      <c r="U905" s="13" t="s">
        <v>52</v>
      </c>
      <c r="V905" s="13" t="s">
        <v>89</v>
      </c>
      <c r="W905" s="12">
        <v>10</v>
      </c>
      <c r="X905" s="33" t="str">
        <f>HYPERLINK("https://www.alpinabook.ru/catalog/book-testosteron","ссылка на книгу")</f>
        <v>ссылка на книгу</v>
      </c>
      <c r="Y905" s="34" t="str">
        <f>HYPERLINK("https://api-enni.alpina.ru/FilePrivilegesApproval/419","https://api-enni.alpina.ru/FilePrivilegesApproval/419")</f>
        <v>https://api-enni.alpina.ru/FilePrivilegesApproval/419</v>
      </c>
      <c r="Z905" s="13"/>
      <c r="AT905" s="1">
        <f t="shared" si="138"/>
        <v>0</v>
      </c>
      <c r="AU905" s="1">
        <f t="shared" si="139"/>
        <v>0</v>
      </c>
      <c r="AV905" s="1">
        <f t="shared" si="140"/>
        <v>0</v>
      </c>
      <c r="AW905" s="1">
        <f t="shared" si="141"/>
        <v>0</v>
      </c>
      <c r="AX905" s="1">
        <f t="shared" si="142"/>
        <v>0</v>
      </c>
    </row>
    <row r="906" spans="1:50" s="1" customFormat="1" ht="24.95" customHeight="1" outlineLevel="3" x14ac:dyDescent="0.2">
      <c r="A906" s="11"/>
      <c r="B906" s="12">
        <v>360</v>
      </c>
      <c r="C906" s="12">
        <v>590</v>
      </c>
      <c r="D906" s="12">
        <v>30704</v>
      </c>
      <c r="E906" s="13" t="s">
        <v>2953</v>
      </c>
      <c r="F906" s="13" t="s">
        <v>2954</v>
      </c>
      <c r="G906" s="13" t="s">
        <v>86</v>
      </c>
      <c r="H906" s="13" t="s">
        <v>40</v>
      </c>
      <c r="I906" s="12">
        <v>2024</v>
      </c>
      <c r="J906" s="13" t="s">
        <v>2955</v>
      </c>
      <c r="K906" s="12">
        <v>9785002232765</v>
      </c>
      <c r="L906" s="13" t="s">
        <v>2956</v>
      </c>
      <c r="M906" s="12">
        <v>376</v>
      </c>
      <c r="N906" s="14">
        <v>0.25</v>
      </c>
      <c r="O906" s="12">
        <v>120</v>
      </c>
      <c r="P906" s="12">
        <v>170</v>
      </c>
      <c r="Q906" s="12">
        <v>16</v>
      </c>
      <c r="R906" s="13" t="s">
        <v>75</v>
      </c>
      <c r="S906" s="13" t="s">
        <v>596</v>
      </c>
      <c r="T906" s="15">
        <v>2000</v>
      </c>
      <c r="U906" s="13" t="s">
        <v>44</v>
      </c>
      <c r="V906" s="13" t="s">
        <v>59</v>
      </c>
      <c r="W906" s="12">
        <v>10</v>
      </c>
      <c r="X906" s="33" t="str">
        <f>HYPERLINK("https://www.alpinabook.ru/catalog/book-trilobity","ссылка на книгу")</f>
        <v>ссылка на книгу</v>
      </c>
      <c r="Y906" s="34" t="str">
        <f>HYPERLINK("https://api-enni.alpina.ru/FilePrivilegesApproval/126","https://api-enni.alpina.ru/FilePrivilegesApproval/126")</f>
        <v>https://api-enni.alpina.ru/FilePrivilegesApproval/126</v>
      </c>
      <c r="Z906" s="13"/>
      <c r="AT906" s="1">
        <f t="shared" si="138"/>
        <v>0</v>
      </c>
      <c r="AU906" s="1">
        <f t="shared" si="139"/>
        <v>0</v>
      </c>
      <c r="AV906" s="1">
        <f t="shared" si="140"/>
        <v>0</v>
      </c>
      <c r="AW906" s="1">
        <f t="shared" si="141"/>
        <v>0</v>
      </c>
      <c r="AX906" s="1">
        <f t="shared" si="142"/>
        <v>0</v>
      </c>
    </row>
    <row r="907" spans="1:50" s="1" customFormat="1" ht="24.95" customHeight="1" outlineLevel="3" x14ac:dyDescent="0.2">
      <c r="A907" s="11"/>
      <c r="B907" s="12">
        <v>540</v>
      </c>
      <c r="C907" s="12">
        <v>790</v>
      </c>
      <c r="D907" s="12">
        <v>27653</v>
      </c>
      <c r="E907" s="13" t="s">
        <v>2694</v>
      </c>
      <c r="F907" s="13" t="s">
        <v>2957</v>
      </c>
      <c r="G907" s="13" t="s">
        <v>86</v>
      </c>
      <c r="H907" s="13" t="s">
        <v>40</v>
      </c>
      <c r="I907" s="12">
        <v>2023</v>
      </c>
      <c r="J907" s="13" t="s">
        <v>2958</v>
      </c>
      <c r="K907" s="12">
        <v>9785001399407</v>
      </c>
      <c r="L907" s="13" t="s">
        <v>2959</v>
      </c>
      <c r="M907" s="12">
        <v>332</v>
      </c>
      <c r="N907" s="14">
        <v>0.3</v>
      </c>
      <c r="O907" s="12">
        <v>140</v>
      </c>
      <c r="P907" s="12">
        <v>210</v>
      </c>
      <c r="Q907" s="12">
        <v>10</v>
      </c>
      <c r="R907" s="13" t="s">
        <v>43</v>
      </c>
      <c r="S907" s="13"/>
      <c r="T907" s="15">
        <v>1500</v>
      </c>
      <c r="U907" s="13" t="s">
        <v>44</v>
      </c>
      <c r="V907" s="13" t="s">
        <v>45</v>
      </c>
      <c r="W907" s="12">
        <v>10</v>
      </c>
      <c r="X907" s="33" t="str">
        <f>HYPERLINK("https://www.alpinabook.ru/catalog/book-tyazhelyy-sluchay","ссылка на книгу")</f>
        <v>ссылка на книгу</v>
      </c>
      <c r="Y907" s="34" t="str">
        <f>HYPERLINK("https://api-enni.alpina.ru/FilePrivilegesApproval/131","https://api-enni.alpina.ru/FilePrivilegesApproval/131")</f>
        <v>https://api-enni.alpina.ru/FilePrivilegesApproval/131</v>
      </c>
      <c r="Z907" s="13"/>
      <c r="AT907" s="1">
        <f t="shared" si="138"/>
        <v>0</v>
      </c>
      <c r="AU907" s="1">
        <f t="shared" si="139"/>
        <v>0</v>
      </c>
      <c r="AV907" s="1">
        <f t="shared" si="140"/>
        <v>0</v>
      </c>
      <c r="AW907" s="1">
        <f t="shared" si="141"/>
        <v>0</v>
      </c>
      <c r="AX907" s="1">
        <f t="shared" si="142"/>
        <v>0</v>
      </c>
    </row>
    <row r="908" spans="1:50" s="1" customFormat="1" ht="24.95" customHeight="1" outlineLevel="3" x14ac:dyDescent="0.2">
      <c r="A908" s="11"/>
      <c r="B908" s="12">
        <v>650</v>
      </c>
      <c r="C908" s="12">
        <v>650</v>
      </c>
      <c r="D908" s="12">
        <v>18426</v>
      </c>
      <c r="E908" s="13" t="s">
        <v>2960</v>
      </c>
      <c r="F908" s="13" t="s">
        <v>2961</v>
      </c>
      <c r="G908" s="13" t="s">
        <v>86</v>
      </c>
      <c r="H908" s="13" t="s">
        <v>40</v>
      </c>
      <c r="I908" s="12">
        <v>2022</v>
      </c>
      <c r="J908" s="13" t="s">
        <v>2962</v>
      </c>
      <c r="K908" s="12">
        <v>9785916719925</v>
      </c>
      <c r="L908" s="13" t="s">
        <v>2963</v>
      </c>
      <c r="M908" s="12">
        <v>290</v>
      </c>
      <c r="N908" s="14">
        <v>0.45</v>
      </c>
      <c r="O908" s="12">
        <v>146</v>
      </c>
      <c r="P908" s="12">
        <v>216</v>
      </c>
      <c r="Q908" s="12">
        <v>14</v>
      </c>
      <c r="R908" s="13" t="s">
        <v>43</v>
      </c>
      <c r="S908" s="13"/>
      <c r="T908" s="15">
        <v>3000</v>
      </c>
      <c r="U908" s="13" t="s">
        <v>52</v>
      </c>
      <c r="V908" s="13" t="s">
        <v>59</v>
      </c>
      <c r="W908" s="12">
        <v>10</v>
      </c>
      <c r="X908" s="33" t="str">
        <f>HYPERLINK("https://www.alpinabook.ru/catalog/book-usonogiy-rak-charlza-darvina","ссылка на книгу")</f>
        <v>ссылка на книгу</v>
      </c>
      <c r="Y908" s="34" t="str">
        <f>HYPERLINK("https://api-enni.alpina.ru/FilePrivilegesApproval/127","https://api-enni.alpina.ru/FilePrivilegesApproval/127")</f>
        <v>https://api-enni.alpina.ru/FilePrivilegesApproval/127</v>
      </c>
      <c r="Z908" s="13"/>
      <c r="AT908" s="1">
        <f t="shared" si="138"/>
        <v>0</v>
      </c>
      <c r="AU908" s="1">
        <f t="shared" si="139"/>
        <v>0</v>
      </c>
      <c r="AV908" s="1">
        <f t="shared" si="140"/>
        <v>0</v>
      </c>
      <c r="AW908" s="1">
        <f t="shared" si="141"/>
        <v>0</v>
      </c>
      <c r="AX908" s="1">
        <f t="shared" si="142"/>
        <v>0</v>
      </c>
    </row>
    <row r="909" spans="1:50" s="1" customFormat="1" ht="24.95" customHeight="1" outlineLevel="3" x14ac:dyDescent="0.2">
      <c r="A909" s="11"/>
      <c r="B909" s="12">
        <v>890</v>
      </c>
      <c r="C909" s="15">
        <v>1290</v>
      </c>
      <c r="D909" s="12">
        <v>6370</v>
      </c>
      <c r="E909" s="13" t="s">
        <v>2385</v>
      </c>
      <c r="F909" s="13" t="s">
        <v>2964</v>
      </c>
      <c r="G909" s="13" t="s">
        <v>86</v>
      </c>
      <c r="H909" s="13" t="s">
        <v>40</v>
      </c>
      <c r="I909" s="12">
        <v>2022</v>
      </c>
      <c r="J909" s="13" t="s">
        <v>2965</v>
      </c>
      <c r="K909" s="12">
        <v>9785001394419</v>
      </c>
      <c r="L909" s="13" t="s">
        <v>2966</v>
      </c>
      <c r="M909" s="12">
        <v>608</v>
      </c>
      <c r="N909" s="14">
        <v>1</v>
      </c>
      <c r="O909" s="12">
        <v>170</v>
      </c>
      <c r="P909" s="12">
        <v>240</v>
      </c>
      <c r="Q909" s="12">
        <v>3</v>
      </c>
      <c r="R909" s="13" t="s">
        <v>94</v>
      </c>
      <c r="S909" s="13"/>
      <c r="T909" s="15">
        <v>3885</v>
      </c>
      <c r="U909" s="13" t="s">
        <v>52</v>
      </c>
      <c r="V909" s="13" t="s">
        <v>45</v>
      </c>
      <c r="W909" s="12">
        <v>10</v>
      </c>
      <c r="X909" s="33" t="str">
        <f>HYPERLINK("https://www.alpinabook.ru/catalog/book-chistyy-list","ссылка на книгу")</f>
        <v>ссылка на книгу</v>
      </c>
      <c r="Y909" s="34" t="str">
        <f>HYPERLINK("https://api-enni.alpina.ru/FilePrivilegesApproval/127","https://api-enni.alpina.ru/FilePrivilegesApproval/127")</f>
        <v>https://api-enni.alpina.ru/FilePrivilegesApproval/127</v>
      </c>
      <c r="Z909" s="13"/>
      <c r="AT909" s="1">
        <f t="shared" si="138"/>
        <v>0</v>
      </c>
      <c r="AU909" s="1">
        <f t="shared" si="139"/>
        <v>0</v>
      </c>
      <c r="AV909" s="1">
        <f t="shared" si="140"/>
        <v>0</v>
      </c>
      <c r="AW909" s="1">
        <f t="shared" si="141"/>
        <v>0</v>
      </c>
      <c r="AX909" s="1">
        <f t="shared" si="142"/>
        <v>0</v>
      </c>
    </row>
    <row r="910" spans="1:50" s="1" customFormat="1" ht="24.95" customHeight="1" outlineLevel="3" x14ac:dyDescent="0.2">
      <c r="A910" s="11"/>
      <c r="B910" s="12">
        <v>640</v>
      </c>
      <c r="C910" s="12">
        <v>940</v>
      </c>
      <c r="D910" s="12">
        <v>8215</v>
      </c>
      <c r="E910" s="13" t="s">
        <v>2743</v>
      </c>
      <c r="F910" s="13" t="s">
        <v>2967</v>
      </c>
      <c r="G910" s="13" t="s">
        <v>86</v>
      </c>
      <c r="H910" s="13" t="s">
        <v>40</v>
      </c>
      <c r="I910" s="12">
        <v>2019</v>
      </c>
      <c r="J910" s="13" t="s">
        <v>2968</v>
      </c>
      <c r="K910" s="12">
        <v>9785916719451</v>
      </c>
      <c r="L910" s="13" t="s">
        <v>2969</v>
      </c>
      <c r="M910" s="12">
        <v>333</v>
      </c>
      <c r="N910" s="14">
        <v>0.43</v>
      </c>
      <c r="O910" s="12">
        <v>140</v>
      </c>
      <c r="P910" s="12">
        <v>210</v>
      </c>
      <c r="Q910" s="12">
        <v>14</v>
      </c>
      <c r="R910" s="13" t="s">
        <v>43</v>
      </c>
      <c r="S910" s="13" t="s">
        <v>2690</v>
      </c>
      <c r="T910" s="15">
        <v>1500</v>
      </c>
      <c r="U910" s="13" t="s">
        <v>44</v>
      </c>
      <c r="V910" s="13" t="s">
        <v>59</v>
      </c>
      <c r="W910" s="12">
        <v>10</v>
      </c>
      <c r="X910" s="33" t="str">
        <f>HYPERLINK("https://www.alpinabook.ru/catalog/book-chto-znachit-byt-sobakoy","ссылка на книгу")</f>
        <v>ссылка на книгу</v>
      </c>
      <c r="Y910" s="34" t="str">
        <f>HYPERLINK("https://api-enni.alpina.ru/FilePrivilegesApproval/5","https://api-enni.alpina.ru/FilePrivilegesApproval/5")</f>
        <v>https://api-enni.alpina.ru/FilePrivilegesApproval/5</v>
      </c>
      <c r="Z910" s="13"/>
      <c r="AT910" s="1">
        <f t="shared" si="138"/>
        <v>0</v>
      </c>
      <c r="AU910" s="1">
        <f t="shared" si="139"/>
        <v>0</v>
      </c>
      <c r="AV910" s="1">
        <f t="shared" si="140"/>
        <v>0</v>
      </c>
      <c r="AW910" s="1">
        <f t="shared" si="141"/>
        <v>0</v>
      </c>
      <c r="AX910" s="1">
        <f t="shared" si="142"/>
        <v>0</v>
      </c>
    </row>
    <row r="911" spans="1:50" s="1" customFormat="1" ht="24.95" customHeight="1" outlineLevel="3" x14ac:dyDescent="0.2">
      <c r="A911" s="11"/>
      <c r="B911" s="12">
        <v>730</v>
      </c>
      <c r="C911" s="15">
        <v>1090</v>
      </c>
      <c r="D911" s="12">
        <v>28272</v>
      </c>
      <c r="E911" s="13" t="s">
        <v>2970</v>
      </c>
      <c r="F911" s="13" t="s">
        <v>2971</v>
      </c>
      <c r="G911" s="13" t="s">
        <v>86</v>
      </c>
      <c r="H911" s="13" t="s">
        <v>40</v>
      </c>
      <c r="I911" s="12">
        <v>2025</v>
      </c>
      <c r="J911" s="13" t="s">
        <v>2972</v>
      </c>
      <c r="K911" s="12">
        <v>9785916714326</v>
      </c>
      <c r="L911" s="13" t="s">
        <v>2973</v>
      </c>
      <c r="M911" s="12">
        <v>344</v>
      </c>
      <c r="N911" s="14">
        <v>0.42</v>
      </c>
      <c r="O911" s="12">
        <v>140</v>
      </c>
      <c r="P911" s="12">
        <v>210</v>
      </c>
      <c r="Q911" s="12">
        <v>12</v>
      </c>
      <c r="R911" s="13" t="s">
        <v>43</v>
      </c>
      <c r="S911" s="13"/>
      <c r="T911" s="15">
        <v>2000</v>
      </c>
      <c r="U911" s="13" t="s">
        <v>44</v>
      </c>
      <c r="V911" s="13" t="s">
        <v>45</v>
      </c>
      <c r="W911" s="12">
        <v>10</v>
      </c>
      <c r="X911" s="33" t="str">
        <f>HYPERLINK("https://www.alpinabook.ru/catalog/book-sherst-dybom","ссылка на книгу")</f>
        <v>ссылка на книгу</v>
      </c>
      <c r="Y911" s="34" t="str">
        <f>HYPERLINK("https://api-enni.alpina.ru/FilePrivilegesApproval/730","https://api-enni.alpina.ru/FilePrivilegesApproval/730")</f>
        <v>https://api-enni.alpina.ru/FilePrivilegesApproval/730</v>
      </c>
      <c r="Z911" s="13" t="s">
        <v>334</v>
      </c>
      <c r="AT911" s="1">
        <f t="shared" si="138"/>
        <v>0</v>
      </c>
      <c r="AU911" s="1">
        <f t="shared" si="139"/>
        <v>0</v>
      </c>
      <c r="AV911" s="1">
        <f t="shared" si="140"/>
        <v>0</v>
      </c>
      <c r="AW911" s="1">
        <f t="shared" si="141"/>
        <v>0</v>
      </c>
      <c r="AX911" s="1">
        <f t="shared" si="142"/>
        <v>0</v>
      </c>
    </row>
    <row r="912" spans="1:50" s="1" customFormat="1" ht="24.95" customHeight="1" outlineLevel="3" x14ac:dyDescent="0.2">
      <c r="A912" s="11"/>
      <c r="B912" s="15">
        <v>1090</v>
      </c>
      <c r="C912" s="15">
        <v>1590</v>
      </c>
      <c r="D912" s="12">
        <v>18675</v>
      </c>
      <c r="E912" s="13" t="s">
        <v>2974</v>
      </c>
      <c r="F912" s="13" t="s">
        <v>2975</v>
      </c>
      <c r="G912" s="13" t="s">
        <v>86</v>
      </c>
      <c r="H912" s="13" t="s">
        <v>40</v>
      </c>
      <c r="I912" s="12">
        <v>2024</v>
      </c>
      <c r="J912" s="13" t="s">
        <v>2976</v>
      </c>
      <c r="K912" s="12">
        <v>9785001393139</v>
      </c>
      <c r="L912" s="13" t="s">
        <v>2977</v>
      </c>
      <c r="M912" s="12">
        <v>620</v>
      </c>
      <c r="N912" s="14">
        <v>0.93</v>
      </c>
      <c r="O912" s="12">
        <v>150</v>
      </c>
      <c r="P912" s="12">
        <v>220</v>
      </c>
      <c r="Q912" s="12">
        <v>5</v>
      </c>
      <c r="R912" s="13" t="s">
        <v>94</v>
      </c>
      <c r="S912" s="13"/>
      <c r="T912" s="15">
        <v>1500</v>
      </c>
      <c r="U912" s="13" t="s">
        <v>52</v>
      </c>
      <c r="V912" s="13" t="s">
        <v>45</v>
      </c>
      <c r="W912" s="12">
        <v>10</v>
      </c>
      <c r="X912" s="33" t="str">
        <f>HYPERLINK("https://www.alpinabook.ru/catalog/book-epidemii-i-obshchestvo","ссылка на книгу")</f>
        <v>ссылка на книгу</v>
      </c>
      <c r="Y912" s="34" t="str">
        <f>HYPERLINK("https://api-enni.alpina.ru/FilePrivilegesApproval/171","https://api-enni.alpina.ru/FilePrivilegesApproval/171")</f>
        <v>https://api-enni.alpina.ru/FilePrivilegesApproval/171</v>
      </c>
      <c r="Z912" s="13"/>
      <c r="AT912" s="1">
        <f t="shared" si="138"/>
        <v>0</v>
      </c>
      <c r="AU912" s="1">
        <f t="shared" si="139"/>
        <v>0</v>
      </c>
      <c r="AV912" s="1">
        <f t="shared" si="140"/>
        <v>0</v>
      </c>
      <c r="AW912" s="1">
        <f t="shared" si="141"/>
        <v>0</v>
      </c>
      <c r="AX912" s="1">
        <f t="shared" si="142"/>
        <v>0</v>
      </c>
    </row>
    <row r="913" spans="1:50" s="1" customFormat="1" ht="24.95" customHeight="1" outlineLevel="3" x14ac:dyDescent="0.2">
      <c r="A913" s="26"/>
      <c r="B913" s="28">
        <v>1090</v>
      </c>
      <c r="C913" s="28">
        <v>1590</v>
      </c>
      <c r="D913" s="27">
        <v>18119</v>
      </c>
      <c r="E913" s="29" t="s">
        <v>2978</v>
      </c>
      <c r="F913" s="29" t="s">
        <v>2979</v>
      </c>
      <c r="G913" s="29" t="s">
        <v>86</v>
      </c>
      <c r="H913" s="29" t="s">
        <v>40</v>
      </c>
      <c r="I913" s="27">
        <v>2025</v>
      </c>
      <c r="J913" s="29" t="s">
        <v>2980</v>
      </c>
      <c r="K913" s="27">
        <v>9785001397847</v>
      </c>
      <c r="L913" s="29" t="s">
        <v>2981</v>
      </c>
      <c r="M913" s="27">
        <v>552</v>
      </c>
      <c r="N913" s="30">
        <v>0.75</v>
      </c>
      <c r="O913" s="27">
        <v>150</v>
      </c>
      <c r="P913" s="27">
        <v>220</v>
      </c>
      <c r="Q913" s="27">
        <v>8</v>
      </c>
      <c r="R913" s="29" t="s">
        <v>43</v>
      </c>
      <c r="S913" s="29"/>
      <c r="T913" s="28">
        <v>2000</v>
      </c>
      <c r="U913" s="29" t="s">
        <v>52</v>
      </c>
      <c r="V913" s="29" t="s">
        <v>59</v>
      </c>
      <c r="W913" s="27">
        <v>10</v>
      </c>
      <c r="X913" s="37" t="str">
        <f>HYPERLINK("https://www.alpinabook.ru/catalog/book-era-mlekopitayushchikh","ссылка на книгу")</f>
        <v>ссылка на книгу</v>
      </c>
      <c r="Y913" s="38" t="str">
        <f>HYPERLINK("https://api-enni.alpina.ru/FilePrivilegesApproval/806","https://api-enni.alpina.ru/FilePrivilegesApproval/806")</f>
        <v>https://api-enni.alpina.ru/FilePrivilegesApproval/806</v>
      </c>
      <c r="Z913" s="29"/>
      <c r="AT913" s="1">
        <f t="shared" si="138"/>
        <v>0</v>
      </c>
      <c r="AU913" s="1">
        <f t="shared" si="139"/>
        <v>0</v>
      </c>
      <c r="AV913" s="1">
        <f t="shared" si="140"/>
        <v>0</v>
      </c>
      <c r="AW913" s="1">
        <f t="shared" si="141"/>
        <v>0</v>
      </c>
      <c r="AX913" s="1">
        <f t="shared" si="142"/>
        <v>0</v>
      </c>
    </row>
    <row r="914" spans="1:50" s="1" customFormat="1" ht="24.95" customHeight="1" outlineLevel="3" x14ac:dyDescent="0.2">
      <c r="A914" s="11"/>
      <c r="B914" s="12">
        <v>350</v>
      </c>
      <c r="C914" s="12">
        <v>540</v>
      </c>
      <c r="D914" s="12">
        <v>30462</v>
      </c>
      <c r="E914" s="13" t="s">
        <v>2982</v>
      </c>
      <c r="F914" s="13" t="s">
        <v>2983</v>
      </c>
      <c r="G914" s="13" t="s">
        <v>86</v>
      </c>
      <c r="H914" s="13" t="s">
        <v>850</v>
      </c>
      <c r="I914" s="12">
        <v>2024</v>
      </c>
      <c r="J914" s="13" t="s">
        <v>2984</v>
      </c>
      <c r="K914" s="12">
        <v>9785002232581</v>
      </c>
      <c r="L914" s="13" t="s">
        <v>2985</v>
      </c>
      <c r="M914" s="12">
        <v>320</v>
      </c>
      <c r="N914" s="14">
        <v>0.21</v>
      </c>
      <c r="O914" s="12">
        <v>120</v>
      </c>
      <c r="P914" s="12">
        <v>170</v>
      </c>
      <c r="Q914" s="12">
        <v>16</v>
      </c>
      <c r="R914" s="13" t="s">
        <v>75</v>
      </c>
      <c r="S914" s="13" t="s">
        <v>596</v>
      </c>
      <c r="T914" s="15">
        <v>2000</v>
      </c>
      <c r="U914" s="13" t="s">
        <v>44</v>
      </c>
      <c r="V914" s="13" t="s">
        <v>59</v>
      </c>
      <c r="W914" s="12">
        <v>10</v>
      </c>
      <c r="X914" s="33" t="str">
        <f>HYPERLINK("https://www.alpinabook.ru/catalog/book-eto-moy-konek","ссылка на книгу")</f>
        <v>ссылка на книгу</v>
      </c>
      <c r="Y914" s="34" t="str">
        <f>HYPERLINK("https://api-enni.alpina.ru/FilePrivilegesApproval/259","https://api-enni.alpina.ru/FilePrivilegesApproval/259")</f>
        <v>https://api-enni.alpina.ru/FilePrivilegesApproval/259</v>
      </c>
      <c r="Z914" s="13"/>
      <c r="AT914" s="1">
        <f t="shared" si="138"/>
        <v>0</v>
      </c>
      <c r="AU914" s="1">
        <f t="shared" si="139"/>
        <v>0</v>
      </c>
      <c r="AV914" s="1">
        <f t="shared" si="140"/>
        <v>0</v>
      </c>
      <c r="AW914" s="1">
        <f t="shared" si="141"/>
        <v>0</v>
      </c>
      <c r="AX914" s="1">
        <f t="shared" si="142"/>
        <v>0</v>
      </c>
    </row>
    <row r="915" spans="1:50" s="1" customFormat="1" ht="24.95" customHeight="1" outlineLevel="3" x14ac:dyDescent="0.2">
      <c r="A915" s="11"/>
      <c r="B915" s="12">
        <v>630</v>
      </c>
      <c r="C915" s="12">
        <v>990</v>
      </c>
      <c r="D915" s="12">
        <v>18460</v>
      </c>
      <c r="E915" s="13" t="s">
        <v>2986</v>
      </c>
      <c r="F915" s="13" t="s">
        <v>2987</v>
      </c>
      <c r="G915" s="13" t="s">
        <v>86</v>
      </c>
      <c r="H915" s="13" t="s">
        <v>40</v>
      </c>
      <c r="I915" s="12">
        <v>2023</v>
      </c>
      <c r="J915" s="13" t="s">
        <v>2988</v>
      </c>
      <c r="K915" s="12">
        <v>9785001397939</v>
      </c>
      <c r="L915" s="13" t="s">
        <v>2989</v>
      </c>
      <c r="M915" s="12">
        <v>308</v>
      </c>
      <c r="N915" s="14">
        <v>0.41</v>
      </c>
      <c r="O915" s="12">
        <v>141</v>
      </c>
      <c r="P915" s="12">
        <v>210</v>
      </c>
      <c r="Q915" s="12">
        <v>14</v>
      </c>
      <c r="R915" s="13" t="s">
        <v>43</v>
      </c>
      <c r="S915" s="13" t="s">
        <v>2690</v>
      </c>
      <c r="T915" s="15">
        <v>2000</v>
      </c>
      <c r="U915" s="13" t="s">
        <v>44</v>
      </c>
      <c r="V915" s="13" t="s">
        <v>59</v>
      </c>
      <c r="W915" s="12">
        <v>10</v>
      </c>
      <c r="X915" s="33" t="str">
        <f>HYPERLINK("https://www.alpinabook.ru/catalog/book-yazyk-babochek","ссылка на книгу")</f>
        <v>ссылка на книгу</v>
      </c>
      <c r="Y915" s="34" t="str">
        <f>HYPERLINK("https://api-enni.alpina.ru/FilePrivilegesApproval/173","https://api-enni.alpina.ru/FilePrivilegesApproval/173")</f>
        <v>https://api-enni.alpina.ru/FilePrivilegesApproval/173</v>
      </c>
      <c r="Z915" s="13"/>
      <c r="AT915" s="1">
        <f t="shared" si="138"/>
        <v>0</v>
      </c>
      <c r="AU915" s="1">
        <f t="shared" si="139"/>
        <v>0</v>
      </c>
      <c r="AV915" s="1">
        <f t="shared" si="140"/>
        <v>0</v>
      </c>
      <c r="AW915" s="1">
        <f t="shared" si="141"/>
        <v>0</v>
      </c>
      <c r="AX915" s="1">
        <f t="shared" si="142"/>
        <v>0</v>
      </c>
    </row>
    <row r="916" spans="1:50" ht="11.1" customHeight="1" outlineLevel="2" x14ac:dyDescent="0.2">
      <c r="A916" s="40" t="s">
        <v>2990</v>
      </c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20"/>
    </row>
    <row r="917" spans="1:50" s="1" customFormat="1" ht="24.95" customHeight="1" outlineLevel="3" x14ac:dyDescent="0.2">
      <c r="A917" s="11"/>
      <c r="B917" s="12">
        <v>890</v>
      </c>
      <c r="C917" s="15">
        <v>1290</v>
      </c>
      <c r="D917" s="12">
        <v>26213</v>
      </c>
      <c r="E917" s="13" t="s">
        <v>2991</v>
      </c>
      <c r="F917" s="13" t="s">
        <v>2992</v>
      </c>
      <c r="G917" s="13" t="s">
        <v>97</v>
      </c>
      <c r="H917" s="13"/>
      <c r="I917" s="12">
        <v>2024</v>
      </c>
      <c r="J917" s="13" t="s">
        <v>2993</v>
      </c>
      <c r="K917" s="12">
        <v>9785206000658</v>
      </c>
      <c r="L917" s="13" t="s">
        <v>2994</v>
      </c>
      <c r="M917" s="12">
        <v>424</v>
      </c>
      <c r="N917" s="14">
        <v>0.78</v>
      </c>
      <c r="O917" s="12">
        <v>170</v>
      </c>
      <c r="P917" s="12">
        <v>250</v>
      </c>
      <c r="Q917" s="12">
        <v>5</v>
      </c>
      <c r="R917" s="13" t="s">
        <v>94</v>
      </c>
      <c r="S917" s="13"/>
      <c r="T917" s="15">
        <v>1000</v>
      </c>
      <c r="U917" s="13" t="s">
        <v>52</v>
      </c>
      <c r="V917" s="13" t="s">
        <v>59</v>
      </c>
      <c r="W917" s="12">
        <v>10</v>
      </c>
      <c r="X917" s="33" t="str">
        <f>HYPERLINK("https://www.alpinabook.ru/catalog/book-iintellekt-i-ekonomika","ссылка на книгу")</f>
        <v>ссылка на книгу</v>
      </c>
      <c r="Y917" s="34" t="str">
        <f>HYPERLINK("https://api-enni.alpina.ru/FilePrivilegesApproval/170","https://api-enni.alpina.ru/FilePrivilegesApproval/170")</f>
        <v>https://api-enni.alpina.ru/FilePrivilegesApproval/170</v>
      </c>
      <c r="Z917" s="13" t="s">
        <v>2995</v>
      </c>
      <c r="AT917" s="1">
        <f t="shared" ref="AT917:AT948" si="143">IF($A917&lt;&gt;0,1,0)</f>
        <v>0</v>
      </c>
      <c r="AU917" s="1">
        <f t="shared" ref="AU917:AU948" si="144">$A917*$B917</f>
        <v>0</v>
      </c>
      <c r="AV917" s="1">
        <f t="shared" ref="AV917:AV948" si="145">$A917*$N917</f>
        <v>0</v>
      </c>
      <c r="AW917" s="1">
        <f t="shared" ref="AW917:AW948" si="146">IF($Q917=0,0,INT($A917/$Q917))</f>
        <v>0</v>
      </c>
      <c r="AX917" s="1">
        <f t="shared" ref="AX917:AX948" si="147">$A917-$AW917*$Q917</f>
        <v>0</v>
      </c>
    </row>
    <row r="918" spans="1:50" s="1" customFormat="1" ht="24.95" customHeight="1" outlineLevel="3" x14ac:dyDescent="0.2">
      <c r="A918" s="11"/>
      <c r="B918" s="12">
        <v>690</v>
      </c>
      <c r="C918" s="12">
        <v>990</v>
      </c>
      <c r="D918" s="12">
        <v>21107</v>
      </c>
      <c r="E918" s="13" t="s">
        <v>254</v>
      </c>
      <c r="F918" s="13" t="s">
        <v>255</v>
      </c>
      <c r="G918" s="13" t="s">
        <v>56</v>
      </c>
      <c r="H918" s="13" t="s">
        <v>40</v>
      </c>
      <c r="I918" s="12">
        <v>2025</v>
      </c>
      <c r="J918" s="13" t="s">
        <v>256</v>
      </c>
      <c r="K918" s="12">
        <v>9785961475173</v>
      </c>
      <c r="L918" s="13" t="s">
        <v>257</v>
      </c>
      <c r="M918" s="12">
        <v>392</v>
      </c>
      <c r="N918" s="14">
        <v>0.6</v>
      </c>
      <c r="O918" s="12">
        <v>150</v>
      </c>
      <c r="P918" s="12">
        <v>220</v>
      </c>
      <c r="Q918" s="12">
        <v>5</v>
      </c>
      <c r="R918" s="13" t="s">
        <v>43</v>
      </c>
      <c r="S918" s="13"/>
      <c r="T918" s="15">
        <v>1000</v>
      </c>
      <c r="U918" s="13" t="s">
        <v>52</v>
      </c>
      <c r="V918" s="13" t="s">
        <v>64</v>
      </c>
      <c r="W918" s="12">
        <v>10</v>
      </c>
      <c r="X918" s="33" t="str">
        <f>HYPERLINK("https://www.alpinabook.ru/catalog/book-2030","ссылка на книгу")</f>
        <v>ссылка на книгу</v>
      </c>
      <c r="Y918" s="34" t="str">
        <f>HYPERLINK("https://api-enni.alpina.ru/FilePrivilegesApproval/122","https://api-enni.alpina.ru/FilePrivilegesApproval/122")</f>
        <v>https://api-enni.alpina.ru/FilePrivilegesApproval/122</v>
      </c>
      <c r="Z918" s="13" t="s">
        <v>118</v>
      </c>
      <c r="AT918" s="1">
        <f t="shared" si="143"/>
        <v>0</v>
      </c>
      <c r="AU918" s="1">
        <f t="shared" si="144"/>
        <v>0</v>
      </c>
      <c r="AV918" s="1">
        <f t="shared" si="145"/>
        <v>0</v>
      </c>
      <c r="AW918" s="1">
        <f t="shared" si="146"/>
        <v>0</v>
      </c>
      <c r="AX918" s="1">
        <f t="shared" si="147"/>
        <v>0</v>
      </c>
    </row>
    <row r="919" spans="1:50" s="1" customFormat="1" ht="24.95" customHeight="1" outlineLevel="3" x14ac:dyDescent="0.2">
      <c r="A919" s="26"/>
      <c r="B919" s="27">
        <v>590</v>
      </c>
      <c r="C919" s="27">
        <v>840</v>
      </c>
      <c r="D919" s="27">
        <v>11764</v>
      </c>
      <c r="E919" s="29" t="s">
        <v>2996</v>
      </c>
      <c r="F919" s="29" t="s">
        <v>2997</v>
      </c>
      <c r="G919" s="29" t="s">
        <v>56</v>
      </c>
      <c r="H919" s="29"/>
      <c r="I919" s="27">
        <v>2019</v>
      </c>
      <c r="J919" s="29" t="s">
        <v>2998</v>
      </c>
      <c r="K919" s="27">
        <v>9785961423822</v>
      </c>
      <c r="L919" s="29" t="s">
        <v>2999</v>
      </c>
      <c r="M919" s="27">
        <v>259</v>
      </c>
      <c r="N919" s="30">
        <v>0.42</v>
      </c>
      <c r="O919" s="27">
        <v>146</v>
      </c>
      <c r="P919" s="27">
        <v>216</v>
      </c>
      <c r="Q919" s="27">
        <v>14</v>
      </c>
      <c r="R919" s="29" t="s">
        <v>43</v>
      </c>
      <c r="S919" s="29"/>
      <c r="T919" s="28">
        <v>3000</v>
      </c>
      <c r="U919" s="29" t="s">
        <v>52</v>
      </c>
      <c r="V919" s="29" t="s">
        <v>64</v>
      </c>
      <c r="W919" s="27">
        <v>10</v>
      </c>
      <c r="X919" s="37" t="str">
        <f>HYPERLINK("https://www.alpinabook.ru/catalog/book-542057","ссылка на книгу")</f>
        <v>ссылка на книгу</v>
      </c>
      <c r="Y919" s="38" t="str">
        <f>HYPERLINK("https://api-enni.alpina.ru/FilePrivilegesApproval/239","https://api-enni.alpina.ru/FilePrivilegesApproval/239")</f>
        <v>https://api-enni.alpina.ru/FilePrivilegesApproval/239</v>
      </c>
      <c r="Z919" s="29"/>
      <c r="AT919" s="1">
        <f t="shared" si="143"/>
        <v>0</v>
      </c>
      <c r="AU919" s="1">
        <f t="shared" si="144"/>
        <v>0</v>
      </c>
      <c r="AV919" s="1">
        <f t="shared" si="145"/>
        <v>0</v>
      </c>
      <c r="AW919" s="1">
        <f t="shared" si="146"/>
        <v>0</v>
      </c>
      <c r="AX919" s="1">
        <f t="shared" si="147"/>
        <v>0</v>
      </c>
    </row>
    <row r="920" spans="1:50" s="1" customFormat="1" ht="24.95" customHeight="1" outlineLevel="3" x14ac:dyDescent="0.2">
      <c r="A920" s="11"/>
      <c r="B920" s="12">
        <v>940</v>
      </c>
      <c r="C920" s="15">
        <v>1290</v>
      </c>
      <c r="D920" s="12">
        <v>3564</v>
      </c>
      <c r="E920" s="13" t="s">
        <v>2360</v>
      </c>
      <c r="F920" s="13" t="s">
        <v>3000</v>
      </c>
      <c r="G920" s="13" t="s">
        <v>86</v>
      </c>
      <c r="H920" s="13" t="s">
        <v>40</v>
      </c>
      <c r="I920" s="12">
        <v>2025</v>
      </c>
      <c r="J920" s="13" t="s">
        <v>3001</v>
      </c>
      <c r="K920" s="12">
        <v>9785916719345</v>
      </c>
      <c r="L920" s="13" t="s">
        <v>3002</v>
      </c>
      <c r="M920" s="12">
        <v>502</v>
      </c>
      <c r="N920" s="14">
        <v>0.71</v>
      </c>
      <c r="O920" s="12">
        <v>146</v>
      </c>
      <c r="P920" s="12">
        <v>216</v>
      </c>
      <c r="Q920" s="12">
        <v>5</v>
      </c>
      <c r="R920" s="13" t="s">
        <v>43</v>
      </c>
      <c r="S920" s="13"/>
      <c r="T920" s="15">
        <v>1000</v>
      </c>
      <c r="U920" s="13" t="s">
        <v>52</v>
      </c>
      <c r="V920" s="13" t="s">
        <v>89</v>
      </c>
      <c r="W920" s="12">
        <v>10</v>
      </c>
      <c r="X920" s="33" t="str">
        <f>HYPERLINK("https://www.alpinabook.ru/catalog/book-budushchee-razuma","ссылка на книгу")</f>
        <v>ссылка на книгу</v>
      </c>
      <c r="Y920" s="34" t="str">
        <f>HYPERLINK("https://api-enni.alpina.ru/FilePrivilegesApproval/5","https://api-enni.alpina.ru/FilePrivilegesApproval/5")</f>
        <v>https://api-enni.alpina.ru/FilePrivilegesApproval/5</v>
      </c>
      <c r="Z920" s="13" t="s">
        <v>2940</v>
      </c>
      <c r="AT920" s="1">
        <f t="shared" si="143"/>
        <v>0</v>
      </c>
      <c r="AU920" s="1">
        <f t="shared" si="144"/>
        <v>0</v>
      </c>
      <c r="AV920" s="1">
        <f t="shared" si="145"/>
        <v>0</v>
      </c>
      <c r="AW920" s="1">
        <f t="shared" si="146"/>
        <v>0</v>
      </c>
      <c r="AX920" s="1">
        <f t="shared" si="147"/>
        <v>0</v>
      </c>
    </row>
    <row r="921" spans="1:50" s="1" customFormat="1" ht="24.95" customHeight="1" outlineLevel="3" x14ac:dyDescent="0.2">
      <c r="A921" s="11"/>
      <c r="B921" s="12">
        <v>790</v>
      </c>
      <c r="C921" s="15">
        <v>1190</v>
      </c>
      <c r="D921" s="12">
        <v>8143</v>
      </c>
      <c r="E921" s="13" t="s">
        <v>2360</v>
      </c>
      <c r="F921" s="13" t="s">
        <v>3003</v>
      </c>
      <c r="G921" s="13" t="s">
        <v>86</v>
      </c>
      <c r="H921" s="13" t="s">
        <v>40</v>
      </c>
      <c r="I921" s="12">
        <v>2025</v>
      </c>
      <c r="J921" s="13" t="s">
        <v>3004</v>
      </c>
      <c r="K921" s="12">
        <v>9785001390534</v>
      </c>
      <c r="L921" s="13" t="s">
        <v>3005</v>
      </c>
      <c r="M921" s="12">
        <v>452</v>
      </c>
      <c r="N921" s="14">
        <v>0.66</v>
      </c>
      <c r="O921" s="12">
        <v>150</v>
      </c>
      <c r="P921" s="12">
        <v>220</v>
      </c>
      <c r="Q921" s="12">
        <v>4</v>
      </c>
      <c r="R921" s="13" t="s">
        <v>43</v>
      </c>
      <c r="S921" s="13"/>
      <c r="T921" s="15">
        <v>1000</v>
      </c>
      <c r="U921" s="13" t="s">
        <v>52</v>
      </c>
      <c r="V921" s="13" t="s">
        <v>59</v>
      </c>
      <c r="W921" s="12">
        <v>10</v>
      </c>
      <c r="X921" s="33" t="str">
        <f>HYPERLINK("https://www.alpinabook.ru/catalog/book-budushchee-chelovechestva","ссылка на книгу")</f>
        <v>ссылка на книгу</v>
      </c>
      <c r="Y921" s="34" t="str">
        <f>HYPERLINK("https://api-enni.alpina.ru/FilePrivilegesApproval/5","https://api-enni.alpina.ru/FilePrivilegesApproval/5")</f>
        <v>https://api-enni.alpina.ru/FilePrivilegesApproval/5</v>
      </c>
      <c r="Z921" s="13" t="s">
        <v>847</v>
      </c>
      <c r="AT921" s="1">
        <f t="shared" si="143"/>
        <v>0</v>
      </c>
      <c r="AU921" s="1">
        <f t="shared" si="144"/>
        <v>0</v>
      </c>
      <c r="AV921" s="1">
        <f t="shared" si="145"/>
        <v>0</v>
      </c>
      <c r="AW921" s="1">
        <f t="shared" si="146"/>
        <v>0</v>
      </c>
      <c r="AX921" s="1">
        <f t="shared" si="147"/>
        <v>0</v>
      </c>
    </row>
    <row r="922" spans="1:50" s="1" customFormat="1" ht="24.95" customHeight="1" outlineLevel="3" x14ac:dyDescent="0.2">
      <c r="A922" s="11"/>
      <c r="B922" s="12">
        <v>640</v>
      </c>
      <c r="C922" s="12">
        <v>640</v>
      </c>
      <c r="D922" s="12">
        <v>17104</v>
      </c>
      <c r="E922" s="13" t="s">
        <v>3006</v>
      </c>
      <c r="F922" s="13" t="s">
        <v>3007</v>
      </c>
      <c r="G922" s="13" t="s">
        <v>56</v>
      </c>
      <c r="H922" s="13" t="s">
        <v>40</v>
      </c>
      <c r="I922" s="12">
        <v>2023</v>
      </c>
      <c r="J922" s="13" t="s">
        <v>3008</v>
      </c>
      <c r="K922" s="12">
        <v>9785961477634</v>
      </c>
      <c r="L922" s="13" t="s">
        <v>3009</v>
      </c>
      <c r="M922" s="12">
        <v>360</v>
      </c>
      <c r="N922" s="14">
        <v>0.5</v>
      </c>
      <c r="O922" s="12">
        <v>146</v>
      </c>
      <c r="P922" s="12">
        <v>216</v>
      </c>
      <c r="Q922" s="12">
        <v>10</v>
      </c>
      <c r="R922" s="13" t="s">
        <v>43</v>
      </c>
      <c r="S922" s="13"/>
      <c r="T922" s="15">
        <v>2000</v>
      </c>
      <c r="U922" s="13" t="s">
        <v>52</v>
      </c>
      <c r="V922" s="13" t="s">
        <v>89</v>
      </c>
      <c r="W922" s="12">
        <v>10</v>
      </c>
      <c r="X922" s="33" t="str">
        <f>HYPERLINK("https://www.alpinabook.ru/catalog/book-v-shage-ot-vechnosti","ссылка на книгу")</f>
        <v>ссылка на книгу</v>
      </c>
      <c r="Y922" s="34" t="str">
        <f>HYPERLINK("https://api-enni.alpina.ru/FilePrivilegesApproval/162","https://api-enni.alpina.ru/FilePrivilegesApproval/162")</f>
        <v>https://api-enni.alpina.ru/FilePrivilegesApproval/162</v>
      </c>
      <c r="Z922" s="13"/>
      <c r="AT922" s="1">
        <f t="shared" si="143"/>
        <v>0</v>
      </c>
      <c r="AU922" s="1">
        <f t="shared" si="144"/>
        <v>0</v>
      </c>
      <c r="AV922" s="1">
        <f t="shared" si="145"/>
        <v>0</v>
      </c>
      <c r="AW922" s="1">
        <f t="shared" si="146"/>
        <v>0</v>
      </c>
      <c r="AX922" s="1">
        <f t="shared" si="147"/>
        <v>0</v>
      </c>
    </row>
    <row r="923" spans="1:50" s="1" customFormat="1" ht="24.95" customHeight="1" outlineLevel="3" x14ac:dyDescent="0.2">
      <c r="A923" s="26"/>
      <c r="B923" s="28">
        <v>2390</v>
      </c>
      <c r="C923" s="28">
        <v>2890</v>
      </c>
      <c r="D923" s="27">
        <v>24085</v>
      </c>
      <c r="E923" s="29" t="s">
        <v>3010</v>
      </c>
      <c r="F923" s="29" t="s">
        <v>3011</v>
      </c>
      <c r="G923" s="29" t="s">
        <v>97</v>
      </c>
      <c r="H923" s="29" t="s">
        <v>40</v>
      </c>
      <c r="I923" s="27">
        <v>2023</v>
      </c>
      <c r="J923" s="29" t="s">
        <v>3012</v>
      </c>
      <c r="K923" s="27">
        <v>9785206000245</v>
      </c>
      <c r="L923" s="29" t="s">
        <v>3013</v>
      </c>
      <c r="M923" s="27">
        <v>284</v>
      </c>
      <c r="N923" s="30">
        <v>1.91</v>
      </c>
      <c r="O923" s="27">
        <v>270</v>
      </c>
      <c r="P923" s="27">
        <v>290</v>
      </c>
      <c r="Q923" s="27">
        <v>5</v>
      </c>
      <c r="R923" s="29" t="s">
        <v>167</v>
      </c>
      <c r="S923" s="29"/>
      <c r="T923" s="28">
        <v>1000</v>
      </c>
      <c r="U923" s="29" t="s">
        <v>52</v>
      </c>
      <c r="V923" s="29" t="s">
        <v>59</v>
      </c>
      <c r="W923" s="27">
        <v>10</v>
      </c>
      <c r="X923" s="37" t="str">
        <f>HYPERLINK("https://www.alpinabook.ru/catalog/book-vid-sverkhu-taymlaps","ссылка на книгу")</f>
        <v>ссылка на книгу</v>
      </c>
      <c r="Y923" s="38" t="str">
        <f>HYPERLINK("https://api-enni.alpina.ru/FilePrivilegesApproval/168","https://api-enni.alpina.ru/FilePrivilegesApproval/168")</f>
        <v>https://api-enni.alpina.ru/FilePrivilegesApproval/168</v>
      </c>
      <c r="Z923" s="29"/>
      <c r="AT923" s="1">
        <f t="shared" si="143"/>
        <v>0</v>
      </c>
      <c r="AU923" s="1">
        <f t="shared" si="144"/>
        <v>0</v>
      </c>
      <c r="AV923" s="1">
        <f t="shared" si="145"/>
        <v>0</v>
      </c>
      <c r="AW923" s="1">
        <f t="shared" si="146"/>
        <v>0</v>
      </c>
      <c r="AX923" s="1">
        <f t="shared" si="147"/>
        <v>0</v>
      </c>
    </row>
    <row r="924" spans="1:50" s="1" customFormat="1" ht="24.95" customHeight="1" outlineLevel="3" x14ac:dyDescent="0.2">
      <c r="A924" s="11"/>
      <c r="B924" s="12">
        <v>740</v>
      </c>
      <c r="C924" s="12">
        <v>740</v>
      </c>
      <c r="D924" s="12">
        <v>20699</v>
      </c>
      <c r="E924" s="13" t="s">
        <v>3014</v>
      </c>
      <c r="F924" s="13" t="s">
        <v>3015</v>
      </c>
      <c r="G924" s="13" t="s">
        <v>86</v>
      </c>
      <c r="H924" s="13" t="s">
        <v>40</v>
      </c>
      <c r="I924" s="12">
        <v>2022</v>
      </c>
      <c r="J924" s="13" t="s">
        <v>3016</v>
      </c>
      <c r="K924" s="12">
        <v>9785001395683</v>
      </c>
      <c r="L924" s="13" t="s">
        <v>3017</v>
      </c>
      <c r="M924" s="12">
        <v>326</v>
      </c>
      <c r="N924" s="14">
        <v>0.49</v>
      </c>
      <c r="O924" s="12">
        <v>150</v>
      </c>
      <c r="P924" s="12">
        <v>220</v>
      </c>
      <c r="Q924" s="12">
        <v>12</v>
      </c>
      <c r="R924" s="13" t="s">
        <v>43</v>
      </c>
      <c r="S924" s="13"/>
      <c r="T924" s="15">
        <v>2500</v>
      </c>
      <c r="U924" s="13" t="s">
        <v>52</v>
      </c>
      <c r="V924" s="13" t="s">
        <v>59</v>
      </c>
      <c r="W924" s="12">
        <v>10</v>
      </c>
      <c r="X924" s="33" t="str">
        <f>HYPERLINK("https://www.alpinabook.ru/catalog/book-vlast-robotov","ссылка на книгу")</f>
        <v>ссылка на книгу</v>
      </c>
      <c r="Y924" s="34" t="str">
        <f>HYPERLINK("https://api-enni.alpina.ru/FilePrivilegesApproval/190","https://api-enni.alpina.ru/FilePrivilegesApproval/190")</f>
        <v>https://api-enni.alpina.ru/FilePrivilegesApproval/190</v>
      </c>
      <c r="Z924" s="13"/>
      <c r="AT924" s="1">
        <f t="shared" si="143"/>
        <v>0</v>
      </c>
      <c r="AU924" s="1">
        <f t="shared" si="144"/>
        <v>0</v>
      </c>
      <c r="AV924" s="1">
        <f t="shared" si="145"/>
        <v>0</v>
      </c>
      <c r="AW924" s="1">
        <f t="shared" si="146"/>
        <v>0</v>
      </c>
      <c r="AX924" s="1">
        <f t="shared" si="147"/>
        <v>0</v>
      </c>
    </row>
    <row r="925" spans="1:50" s="1" customFormat="1" ht="24.95" customHeight="1" outlineLevel="3" x14ac:dyDescent="0.2">
      <c r="A925" s="11"/>
      <c r="B925" s="12">
        <v>790</v>
      </c>
      <c r="C925" s="15">
        <v>1190</v>
      </c>
      <c r="D925" s="12">
        <v>21040</v>
      </c>
      <c r="E925" s="13" t="s">
        <v>367</v>
      </c>
      <c r="F925" s="13" t="s">
        <v>368</v>
      </c>
      <c r="G925" s="13" t="s">
        <v>86</v>
      </c>
      <c r="H925" s="13"/>
      <c r="I925" s="12">
        <v>2025</v>
      </c>
      <c r="J925" s="13" t="s">
        <v>369</v>
      </c>
      <c r="K925" s="12">
        <v>9785001394587</v>
      </c>
      <c r="L925" s="13" t="s">
        <v>370</v>
      </c>
      <c r="M925" s="12">
        <v>176</v>
      </c>
      <c r="N925" s="14">
        <v>0.32</v>
      </c>
      <c r="O925" s="12">
        <v>150</v>
      </c>
      <c r="P925" s="12">
        <v>220</v>
      </c>
      <c r="Q925" s="12">
        <v>10</v>
      </c>
      <c r="R925" s="13" t="s">
        <v>43</v>
      </c>
      <c r="S925" s="13"/>
      <c r="T925" s="15">
        <v>1000</v>
      </c>
      <c r="U925" s="13" t="s">
        <v>52</v>
      </c>
      <c r="V925" s="13" t="s">
        <v>59</v>
      </c>
      <c r="W925" s="12">
        <v>10</v>
      </c>
      <c r="X925" s="33" t="str">
        <f>HYPERLINK("https://www.alpinabook.ru/catalog/book-vospitanie-mashin","ссылка на книгу")</f>
        <v>ссылка на книгу</v>
      </c>
      <c r="Y925" s="34" t="str">
        <f>HYPERLINK("https://api-enni.alpina.ru/FilePrivilegesApproval/151","https://api-enni.alpina.ru/FilePrivilegesApproval/151")</f>
        <v>https://api-enni.alpina.ru/FilePrivilegesApproval/151</v>
      </c>
      <c r="Z925" s="13" t="s">
        <v>118</v>
      </c>
      <c r="AT925" s="1">
        <f t="shared" si="143"/>
        <v>0</v>
      </c>
      <c r="AU925" s="1">
        <f t="shared" si="144"/>
        <v>0</v>
      </c>
      <c r="AV925" s="1">
        <f t="shared" si="145"/>
        <v>0</v>
      </c>
      <c r="AW925" s="1">
        <f t="shared" si="146"/>
        <v>0</v>
      </c>
      <c r="AX925" s="1">
        <f t="shared" si="147"/>
        <v>0</v>
      </c>
    </row>
    <row r="926" spans="1:50" s="1" customFormat="1" ht="24.95" customHeight="1" outlineLevel="3" x14ac:dyDescent="0.2">
      <c r="A926" s="26"/>
      <c r="B926" s="27">
        <v>590</v>
      </c>
      <c r="C926" s="27">
        <v>840</v>
      </c>
      <c r="D926" s="27">
        <v>5342</v>
      </c>
      <c r="E926" s="29" t="s">
        <v>3018</v>
      </c>
      <c r="F926" s="29" t="s">
        <v>3019</v>
      </c>
      <c r="G926" s="29" t="s">
        <v>86</v>
      </c>
      <c r="H926" s="29" t="s">
        <v>40</v>
      </c>
      <c r="I926" s="27">
        <v>2017</v>
      </c>
      <c r="J926" s="29" t="s">
        <v>3020</v>
      </c>
      <c r="K926" s="27">
        <v>9785916716375</v>
      </c>
      <c r="L926" s="29" t="s">
        <v>3021</v>
      </c>
      <c r="M926" s="27">
        <v>312</v>
      </c>
      <c r="N926" s="30">
        <v>0.48</v>
      </c>
      <c r="O926" s="27">
        <v>146</v>
      </c>
      <c r="P926" s="27">
        <v>216</v>
      </c>
      <c r="Q926" s="27">
        <v>12</v>
      </c>
      <c r="R926" s="29" t="s">
        <v>43</v>
      </c>
      <c r="S926" s="29"/>
      <c r="T926" s="28">
        <v>3000</v>
      </c>
      <c r="U926" s="29" t="s">
        <v>52</v>
      </c>
      <c r="V926" s="29" t="s">
        <v>64</v>
      </c>
      <c r="W926" s="27">
        <v>10</v>
      </c>
      <c r="X926" s="37" t="str">
        <f>HYPERLINK("https://www.alpinabook.ru/catalog/book-85706","ссылка на книгу")</f>
        <v>ссылка на книгу</v>
      </c>
      <c r="Y926" s="38" t="str">
        <f>HYPERLINK("https://api-enni.alpina.ru/FilePrivilegesApproval/5","https://api-enni.alpina.ru/FilePrivilegesApproval/5")</f>
        <v>https://api-enni.alpina.ru/FilePrivilegesApproval/5</v>
      </c>
      <c r="Z926" s="29"/>
      <c r="AT926" s="1">
        <f t="shared" si="143"/>
        <v>0</v>
      </c>
      <c r="AU926" s="1">
        <f t="shared" si="144"/>
        <v>0</v>
      </c>
      <c r="AV926" s="1">
        <f t="shared" si="145"/>
        <v>0</v>
      </c>
      <c r="AW926" s="1">
        <f t="shared" si="146"/>
        <v>0</v>
      </c>
      <c r="AX926" s="1">
        <f t="shared" si="147"/>
        <v>0</v>
      </c>
    </row>
    <row r="927" spans="1:50" s="1" customFormat="1" ht="24.95" customHeight="1" outlineLevel="3" x14ac:dyDescent="0.2">
      <c r="A927" s="26"/>
      <c r="B927" s="28">
        <v>1090</v>
      </c>
      <c r="C927" s="28">
        <v>1590</v>
      </c>
      <c r="D927" s="27">
        <v>32012</v>
      </c>
      <c r="E927" s="29" t="s">
        <v>441</v>
      </c>
      <c r="F927" s="29" t="s">
        <v>442</v>
      </c>
      <c r="G927" s="29" t="s">
        <v>97</v>
      </c>
      <c r="H927" s="29"/>
      <c r="I927" s="27">
        <v>2025</v>
      </c>
      <c r="J927" s="29" t="s">
        <v>443</v>
      </c>
      <c r="K927" s="27">
        <v>9785206003987</v>
      </c>
      <c r="L927" s="29" t="s">
        <v>444</v>
      </c>
      <c r="M927" s="27">
        <v>298</v>
      </c>
      <c r="N927" s="30">
        <v>0.86</v>
      </c>
      <c r="O927" s="27">
        <v>170</v>
      </c>
      <c r="P927" s="27">
        <v>240</v>
      </c>
      <c r="Q927" s="27">
        <v>5</v>
      </c>
      <c r="R927" s="29" t="s">
        <v>94</v>
      </c>
      <c r="S927" s="29"/>
      <c r="T927" s="28">
        <v>1005</v>
      </c>
      <c r="U927" s="29" t="s">
        <v>52</v>
      </c>
      <c r="V927" s="29" t="s">
        <v>45</v>
      </c>
      <c r="W927" s="27">
        <v>10</v>
      </c>
      <c r="X927" s="37" t="str">
        <f>HYPERLINK("https://www.alpinabook.ru/catalog/book-idyem-po-kibersledu","ссылка на книгу")</f>
        <v>ссылка на книгу</v>
      </c>
      <c r="Y927" s="38" t="str">
        <f>HYPERLINK("https://api-enni.alpina.ru/FilePrivilegesApproval/735","https://api-enni.alpina.ru/FilePrivilegesApproval/735")</f>
        <v>https://api-enni.alpina.ru/FilePrivilegesApproval/735</v>
      </c>
      <c r="Z927" s="29"/>
      <c r="AT927" s="1">
        <f t="shared" si="143"/>
        <v>0</v>
      </c>
      <c r="AU927" s="1">
        <f t="shared" si="144"/>
        <v>0</v>
      </c>
      <c r="AV927" s="1">
        <f t="shared" si="145"/>
        <v>0</v>
      </c>
      <c r="AW927" s="1">
        <f t="shared" si="146"/>
        <v>0</v>
      </c>
      <c r="AX927" s="1">
        <f t="shared" si="147"/>
        <v>0</v>
      </c>
    </row>
    <row r="928" spans="1:50" s="1" customFormat="1" ht="21.95" customHeight="1" outlineLevel="3" x14ac:dyDescent="0.2">
      <c r="A928" s="11"/>
      <c r="B928" s="15">
        <v>1090</v>
      </c>
      <c r="C928" s="15">
        <v>1090</v>
      </c>
      <c r="D928" s="12">
        <v>17629</v>
      </c>
      <c r="E928" s="13" t="s">
        <v>3022</v>
      </c>
      <c r="F928" s="13" t="s">
        <v>3023</v>
      </c>
      <c r="G928" s="13" t="s">
        <v>97</v>
      </c>
      <c r="H928" s="13" t="s">
        <v>40</v>
      </c>
      <c r="I928" s="12">
        <v>2021</v>
      </c>
      <c r="J928" s="13" t="s">
        <v>3024</v>
      </c>
      <c r="K928" s="12">
        <v>9785907274815</v>
      </c>
      <c r="L928" s="13" t="s">
        <v>3025</v>
      </c>
      <c r="M928" s="12">
        <v>231</v>
      </c>
      <c r="N928" s="14">
        <v>0.5</v>
      </c>
      <c r="O928" s="12">
        <v>168</v>
      </c>
      <c r="P928" s="12">
        <v>241</v>
      </c>
      <c r="Q928" s="12">
        <v>7</v>
      </c>
      <c r="R928" s="13" t="s">
        <v>94</v>
      </c>
      <c r="S928" s="13"/>
      <c r="T928" s="15">
        <v>2000</v>
      </c>
      <c r="U928" s="13" t="s">
        <v>52</v>
      </c>
      <c r="V928" s="13" t="s">
        <v>59</v>
      </c>
      <c r="W928" s="12">
        <v>10</v>
      </c>
      <c r="X928" s="33" t="str">
        <f>HYPERLINK("https://www.alpinabook.ru/catalog/book-668021","ссылка на книгу")</f>
        <v>ссылка на книгу</v>
      </c>
      <c r="Y928" s="34" t="str">
        <f>HYPERLINK("","")</f>
        <v/>
      </c>
      <c r="Z928" s="13"/>
      <c r="AT928" s="1">
        <f t="shared" si="143"/>
        <v>0</v>
      </c>
      <c r="AU928" s="1">
        <f t="shared" si="144"/>
        <v>0</v>
      </c>
      <c r="AV928" s="1">
        <f t="shared" si="145"/>
        <v>0</v>
      </c>
      <c r="AW928" s="1">
        <f t="shared" si="146"/>
        <v>0</v>
      </c>
      <c r="AX928" s="1">
        <f t="shared" si="147"/>
        <v>0</v>
      </c>
    </row>
    <row r="929" spans="1:50" s="1" customFormat="1" ht="24.95" customHeight="1" outlineLevel="3" x14ac:dyDescent="0.2">
      <c r="A929" s="26"/>
      <c r="B929" s="27">
        <v>790</v>
      </c>
      <c r="C929" s="28">
        <v>1190</v>
      </c>
      <c r="D929" s="27">
        <v>17113</v>
      </c>
      <c r="E929" s="29" t="s">
        <v>3026</v>
      </c>
      <c r="F929" s="29" t="s">
        <v>3027</v>
      </c>
      <c r="G929" s="29" t="s">
        <v>56</v>
      </c>
      <c r="H929" s="29" t="s">
        <v>40</v>
      </c>
      <c r="I929" s="27">
        <v>2022</v>
      </c>
      <c r="J929" s="29" t="s">
        <v>3028</v>
      </c>
      <c r="K929" s="27">
        <v>9785961429206</v>
      </c>
      <c r="L929" s="29" t="s">
        <v>3029</v>
      </c>
      <c r="M929" s="27">
        <v>400</v>
      </c>
      <c r="N929" s="30">
        <v>0.73</v>
      </c>
      <c r="O929" s="27">
        <v>168</v>
      </c>
      <c r="P929" s="27">
        <v>241</v>
      </c>
      <c r="Q929" s="27">
        <v>6</v>
      </c>
      <c r="R929" s="29" t="s">
        <v>94</v>
      </c>
      <c r="S929" s="29"/>
      <c r="T929" s="28">
        <v>2000</v>
      </c>
      <c r="U929" s="29" t="s">
        <v>52</v>
      </c>
      <c r="V929" s="29" t="s">
        <v>59</v>
      </c>
      <c r="W929" s="27">
        <v>10</v>
      </c>
      <c r="X929" s="37" t="str">
        <f>HYPERLINK("https://www.alpinabook.ru/catalog/book-iskusstvennyy-intellekt-v-meditsine","ссылка на книгу")</f>
        <v>ссылка на книгу</v>
      </c>
      <c r="Y929" s="38" t="str">
        <f>HYPERLINK("https://api-enni.alpina.ru/FilePrivilegesApproval/121","https://api-enni.alpina.ru/FilePrivilegesApproval/121")</f>
        <v>https://api-enni.alpina.ru/FilePrivilegesApproval/121</v>
      </c>
      <c r="Z929" s="29"/>
      <c r="AT929" s="1">
        <f t="shared" si="143"/>
        <v>0</v>
      </c>
      <c r="AU929" s="1">
        <f t="shared" si="144"/>
        <v>0</v>
      </c>
      <c r="AV929" s="1">
        <f t="shared" si="145"/>
        <v>0</v>
      </c>
      <c r="AW929" s="1">
        <f t="shared" si="146"/>
        <v>0</v>
      </c>
      <c r="AX929" s="1">
        <f t="shared" si="147"/>
        <v>0</v>
      </c>
    </row>
    <row r="930" spans="1:50" s="1" customFormat="1" ht="24.95" customHeight="1" outlineLevel="3" x14ac:dyDescent="0.2">
      <c r="A930" s="11"/>
      <c r="B930" s="12">
        <v>890</v>
      </c>
      <c r="C930" s="15">
        <v>1290</v>
      </c>
      <c r="D930" s="12">
        <v>17721</v>
      </c>
      <c r="E930" s="13" t="s">
        <v>3030</v>
      </c>
      <c r="F930" s="13" t="s">
        <v>3031</v>
      </c>
      <c r="G930" s="13" t="s">
        <v>97</v>
      </c>
      <c r="H930" s="13" t="s">
        <v>40</v>
      </c>
      <c r="I930" s="12">
        <v>2022</v>
      </c>
      <c r="J930" s="13" t="s">
        <v>3032</v>
      </c>
      <c r="K930" s="12">
        <v>9785907534698</v>
      </c>
      <c r="L930" s="13" t="s">
        <v>3033</v>
      </c>
      <c r="M930" s="12">
        <v>303</v>
      </c>
      <c r="N930" s="14">
        <v>0.48</v>
      </c>
      <c r="O930" s="12">
        <v>150</v>
      </c>
      <c r="P930" s="12">
        <v>220</v>
      </c>
      <c r="Q930" s="12">
        <v>10</v>
      </c>
      <c r="R930" s="13" t="s">
        <v>43</v>
      </c>
      <c r="S930" s="13"/>
      <c r="T930" s="15">
        <v>1000</v>
      </c>
      <c r="U930" s="13" t="s">
        <v>52</v>
      </c>
      <c r="V930" s="13" t="s">
        <v>59</v>
      </c>
      <c r="W930" s="12">
        <v>10</v>
      </c>
      <c r="X930" s="33" t="str">
        <f>HYPERLINK("https://www.alpinabook.ru/catalog/book-ii-v-obrazovanii","ссылка на книгу")</f>
        <v>ссылка на книгу</v>
      </c>
      <c r="Y930" s="34" t="str">
        <f>HYPERLINK("https://api-enni.alpina.ru/FilePrivilegesApproval/139","https://api-enni.alpina.ru/FilePrivilegesApproval/139")</f>
        <v>https://api-enni.alpina.ru/FilePrivilegesApproval/139</v>
      </c>
      <c r="Z930" s="13"/>
      <c r="AT930" s="1">
        <f t="shared" si="143"/>
        <v>0</v>
      </c>
      <c r="AU930" s="1">
        <f t="shared" si="144"/>
        <v>0</v>
      </c>
      <c r="AV930" s="1">
        <f t="shared" si="145"/>
        <v>0</v>
      </c>
      <c r="AW930" s="1">
        <f t="shared" si="146"/>
        <v>0</v>
      </c>
      <c r="AX930" s="1">
        <f t="shared" si="147"/>
        <v>0</v>
      </c>
    </row>
    <row r="931" spans="1:50" s="1" customFormat="1" ht="24.95" customHeight="1" outlineLevel="3" x14ac:dyDescent="0.2">
      <c r="A931" s="11"/>
      <c r="B931" s="15">
        <v>1090</v>
      </c>
      <c r="C931" s="15">
        <v>1090</v>
      </c>
      <c r="D931" s="12">
        <v>23360</v>
      </c>
      <c r="E931" s="13" t="s">
        <v>3034</v>
      </c>
      <c r="F931" s="13" t="s">
        <v>3035</v>
      </c>
      <c r="G931" s="13" t="s">
        <v>97</v>
      </c>
      <c r="H931" s="13" t="s">
        <v>40</v>
      </c>
      <c r="I931" s="12">
        <v>2021</v>
      </c>
      <c r="J931" s="13" t="s">
        <v>3036</v>
      </c>
      <c r="K931" s="12">
        <v>9785907394933</v>
      </c>
      <c r="L931" s="13" t="s">
        <v>3037</v>
      </c>
      <c r="M931" s="12">
        <v>304</v>
      </c>
      <c r="N931" s="14">
        <v>0.62</v>
      </c>
      <c r="O931" s="12">
        <v>168</v>
      </c>
      <c r="P931" s="12">
        <v>241</v>
      </c>
      <c r="Q931" s="12">
        <v>6</v>
      </c>
      <c r="R931" s="13" t="s">
        <v>94</v>
      </c>
      <c r="S931" s="13"/>
      <c r="T931" s="15">
        <v>1500</v>
      </c>
      <c r="U931" s="13" t="s">
        <v>52</v>
      </c>
      <c r="V931" s="13" t="s">
        <v>59</v>
      </c>
      <c r="W931" s="12">
        <v>10</v>
      </c>
      <c r="X931" s="33" t="str">
        <f>HYPERLINK("https://www.alpinabook.ru/catalog/book-iskusstvennyy-intellekt-perezagruzka-market","ссылка на книгу")</f>
        <v>ссылка на книгу</v>
      </c>
      <c r="Y931" s="34" t="str">
        <f>HYPERLINK("https://api-enni.alpina.ru/FilePrivilegesApproval/116","https://api-enni.alpina.ru/FilePrivilegesApproval/116")</f>
        <v>https://api-enni.alpina.ru/FilePrivilegesApproval/116</v>
      </c>
      <c r="Z931" s="13"/>
      <c r="AT931" s="1">
        <f t="shared" si="143"/>
        <v>0</v>
      </c>
      <c r="AU931" s="1">
        <f t="shared" si="144"/>
        <v>0</v>
      </c>
      <c r="AV931" s="1">
        <f t="shared" si="145"/>
        <v>0</v>
      </c>
      <c r="AW931" s="1">
        <f t="shared" si="146"/>
        <v>0</v>
      </c>
      <c r="AX931" s="1">
        <f t="shared" si="147"/>
        <v>0</v>
      </c>
    </row>
    <row r="932" spans="1:50" s="1" customFormat="1" ht="24.95" customHeight="1" outlineLevel="3" x14ac:dyDescent="0.2">
      <c r="A932" s="11"/>
      <c r="B932" s="12">
        <v>640</v>
      </c>
      <c r="C932" s="12">
        <v>640</v>
      </c>
      <c r="D932" s="12">
        <v>20996</v>
      </c>
      <c r="E932" s="13" t="s">
        <v>3038</v>
      </c>
      <c r="F932" s="13" t="s">
        <v>3039</v>
      </c>
      <c r="G932" s="13" t="s">
        <v>86</v>
      </c>
      <c r="H932" s="13" t="s">
        <v>40</v>
      </c>
      <c r="I932" s="12">
        <v>2022</v>
      </c>
      <c r="J932" s="13" t="s">
        <v>3040</v>
      </c>
      <c r="K932" s="12">
        <v>9785001394150</v>
      </c>
      <c r="L932" s="13" t="s">
        <v>3041</v>
      </c>
      <c r="M932" s="12">
        <v>246</v>
      </c>
      <c r="N932" s="14">
        <v>0.34</v>
      </c>
      <c r="O932" s="12">
        <v>130</v>
      </c>
      <c r="P932" s="12">
        <v>206</v>
      </c>
      <c r="Q932" s="12">
        <v>16</v>
      </c>
      <c r="R932" s="13" t="s">
        <v>82</v>
      </c>
      <c r="S932" s="13"/>
      <c r="T932" s="15">
        <v>3000</v>
      </c>
      <c r="U932" s="13" t="s">
        <v>52</v>
      </c>
      <c r="V932" s="13" t="s">
        <v>59</v>
      </c>
      <c r="W932" s="12">
        <v>10</v>
      </c>
      <c r="X932" s="33" t="str">
        <f>HYPERLINK("https://www.alpinabook.ru/catalog/book-iskusstvennyy-ty","ссылка на книгу")</f>
        <v>ссылка на книгу</v>
      </c>
      <c r="Y932" s="34" t="str">
        <f>HYPERLINK("https://api-enni.alpina.ru/FilePrivilegesApproval/131","https://api-enni.alpina.ru/FilePrivilegesApproval/131")</f>
        <v>https://api-enni.alpina.ru/FilePrivilegesApproval/131</v>
      </c>
      <c r="Z932" s="13"/>
      <c r="AT932" s="1">
        <f t="shared" si="143"/>
        <v>0</v>
      </c>
      <c r="AU932" s="1">
        <f t="shared" si="144"/>
        <v>0</v>
      </c>
      <c r="AV932" s="1">
        <f t="shared" si="145"/>
        <v>0</v>
      </c>
      <c r="AW932" s="1">
        <f t="shared" si="146"/>
        <v>0</v>
      </c>
      <c r="AX932" s="1">
        <f t="shared" si="147"/>
        <v>0</v>
      </c>
    </row>
    <row r="933" spans="1:50" s="1" customFormat="1" ht="24.95" customHeight="1" outlineLevel="3" x14ac:dyDescent="0.2">
      <c r="A933" s="11"/>
      <c r="B933" s="15">
        <v>1390</v>
      </c>
      <c r="C933" s="15">
        <v>1790</v>
      </c>
      <c r="D933" s="12">
        <v>23359</v>
      </c>
      <c r="E933" s="13" t="s">
        <v>3042</v>
      </c>
      <c r="F933" s="13" t="s">
        <v>3043</v>
      </c>
      <c r="G933" s="13" t="s">
        <v>97</v>
      </c>
      <c r="H933" s="13" t="s">
        <v>434</v>
      </c>
      <c r="I933" s="12">
        <v>2025</v>
      </c>
      <c r="J933" s="13" t="s">
        <v>3044</v>
      </c>
      <c r="K933" s="12">
        <v>9785907394926</v>
      </c>
      <c r="L933" s="13" t="s">
        <v>3045</v>
      </c>
      <c r="M933" s="12">
        <v>335</v>
      </c>
      <c r="N933" s="14">
        <v>0.65</v>
      </c>
      <c r="O933" s="12">
        <v>170</v>
      </c>
      <c r="P933" s="12">
        <v>240</v>
      </c>
      <c r="Q933" s="12">
        <v>5</v>
      </c>
      <c r="R933" s="13" t="s">
        <v>94</v>
      </c>
      <c r="S933" s="13"/>
      <c r="T933" s="15">
        <v>1000</v>
      </c>
      <c r="U933" s="13" t="s">
        <v>52</v>
      </c>
      <c r="V933" s="13" t="s">
        <v>59</v>
      </c>
      <c r="W933" s="12">
        <v>10</v>
      </c>
      <c r="X933" s="33" t="str">
        <f>HYPERLINK("https://www.alpinabook.ru/catalog/book-kak-uchitsya-mashina","ссылка на книгу")</f>
        <v>ссылка на книгу</v>
      </c>
      <c r="Y933" s="34" t="str">
        <f>HYPERLINK("https://api-enni.alpina.ru/FilePrivilegesApproval/116","https://api-enni.alpina.ru/FilePrivilegesApproval/116")</f>
        <v>https://api-enni.alpina.ru/FilePrivilegesApproval/116</v>
      </c>
      <c r="Z933" s="13" t="s">
        <v>2995</v>
      </c>
      <c r="AT933" s="1">
        <f t="shared" si="143"/>
        <v>0</v>
      </c>
      <c r="AU933" s="1">
        <f t="shared" si="144"/>
        <v>0</v>
      </c>
      <c r="AV933" s="1">
        <f t="shared" si="145"/>
        <v>0</v>
      </c>
      <c r="AW933" s="1">
        <f t="shared" si="146"/>
        <v>0</v>
      </c>
      <c r="AX933" s="1">
        <f t="shared" si="147"/>
        <v>0</v>
      </c>
    </row>
    <row r="934" spans="1:50" s="1" customFormat="1" ht="24.95" customHeight="1" outlineLevel="3" x14ac:dyDescent="0.2">
      <c r="A934" s="11"/>
      <c r="B934" s="12">
        <v>990</v>
      </c>
      <c r="C934" s="15">
        <v>1490</v>
      </c>
      <c r="D934" s="12">
        <v>25168</v>
      </c>
      <c r="E934" s="13" t="s">
        <v>3046</v>
      </c>
      <c r="F934" s="13" t="s">
        <v>3047</v>
      </c>
      <c r="G934" s="13" t="s">
        <v>97</v>
      </c>
      <c r="H934" s="13" t="s">
        <v>40</v>
      </c>
      <c r="I934" s="12">
        <v>2025</v>
      </c>
      <c r="J934" s="13" t="s">
        <v>3048</v>
      </c>
      <c r="K934" s="12">
        <v>9785907534612</v>
      </c>
      <c r="L934" s="13" t="s">
        <v>3049</v>
      </c>
      <c r="M934" s="12">
        <v>368</v>
      </c>
      <c r="N934" s="14">
        <v>0.53</v>
      </c>
      <c r="O934" s="12">
        <v>150</v>
      </c>
      <c r="P934" s="12">
        <v>220</v>
      </c>
      <c r="Q934" s="12">
        <v>6</v>
      </c>
      <c r="R934" s="13" t="s">
        <v>43</v>
      </c>
      <c r="S934" s="13"/>
      <c r="T934" s="15">
        <v>1000</v>
      </c>
      <c r="U934" s="13" t="s">
        <v>52</v>
      </c>
      <c r="V934" s="13" t="s">
        <v>89</v>
      </c>
      <c r="W934" s="12">
        <v>20</v>
      </c>
      <c r="X934" s="33" t="str">
        <f>HYPERLINK("https://www.alpinabook.ru/catalog/book-kibergeyt","ссылка на книгу")</f>
        <v>ссылка на книгу</v>
      </c>
      <c r="Y934" s="34" t="str">
        <f>HYPERLINK("https://api-enni.alpina.ru/FilePrivilegesApproval/529","https://api-enni.alpina.ru/FilePrivilegesApproval/529")</f>
        <v>https://api-enni.alpina.ru/FilePrivilegesApproval/529</v>
      </c>
      <c r="Z934" s="13"/>
      <c r="AT934" s="1">
        <f t="shared" si="143"/>
        <v>0</v>
      </c>
      <c r="AU934" s="1">
        <f t="shared" si="144"/>
        <v>0</v>
      </c>
      <c r="AV934" s="1">
        <f t="shared" si="145"/>
        <v>0</v>
      </c>
      <c r="AW934" s="1">
        <f t="shared" si="146"/>
        <v>0</v>
      </c>
      <c r="AX934" s="1">
        <f t="shared" si="147"/>
        <v>0</v>
      </c>
    </row>
    <row r="935" spans="1:50" s="1" customFormat="1" ht="24.95" customHeight="1" outlineLevel="3" x14ac:dyDescent="0.2">
      <c r="A935" s="11"/>
      <c r="B935" s="12">
        <v>940</v>
      </c>
      <c r="C935" s="12">
        <v>940</v>
      </c>
      <c r="D935" s="12">
        <v>23743</v>
      </c>
      <c r="E935" s="13" t="s">
        <v>3050</v>
      </c>
      <c r="F935" s="13" t="s">
        <v>3051</v>
      </c>
      <c r="G935" s="13" t="s">
        <v>97</v>
      </c>
      <c r="H935" s="13"/>
      <c r="I935" s="12">
        <v>2022</v>
      </c>
      <c r="J935" s="13" t="s">
        <v>3052</v>
      </c>
      <c r="K935" s="12">
        <v>9785907534384</v>
      </c>
      <c r="L935" s="13" t="s">
        <v>3053</v>
      </c>
      <c r="M935" s="12">
        <v>182</v>
      </c>
      <c r="N935" s="14">
        <v>0.5</v>
      </c>
      <c r="O935" s="12">
        <v>168</v>
      </c>
      <c r="P935" s="12">
        <v>241</v>
      </c>
      <c r="Q935" s="12">
        <v>8</v>
      </c>
      <c r="R935" s="13" t="s">
        <v>94</v>
      </c>
      <c r="S935" s="13"/>
      <c r="T935" s="15">
        <v>1010</v>
      </c>
      <c r="U935" s="13" t="s">
        <v>52</v>
      </c>
      <c r="V935" s="13" t="s">
        <v>59</v>
      </c>
      <c r="W935" s="12">
        <v>10</v>
      </c>
      <c r="X935" s="33" t="str">
        <f>HYPERLINK("https://www.alpinabook.ru/catalog/book-krovelnaya-izolyatsiya","ссылка на книгу")</f>
        <v>ссылка на книгу</v>
      </c>
      <c r="Y935" s="34" t="str">
        <f>HYPERLINK("https://api-enni.alpina.ru/FilePrivilegesApproval/155","https://api-enni.alpina.ru/FilePrivilegesApproval/155")</f>
        <v>https://api-enni.alpina.ru/FilePrivilegesApproval/155</v>
      </c>
      <c r="Z935" s="13"/>
      <c r="AT935" s="1">
        <f t="shared" si="143"/>
        <v>0</v>
      </c>
      <c r="AU935" s="1">
        <f t="shared" si="144"/>
        <v>0</v>
      </c>
      <c r="AV935" s="1">
        <f t="shared" si="145"/>
        <v>0</v>
      </c>
      <c r="AW935" s="1">
        <f t="shared" si="146"/>
        <v>0</v>
      </c>
      <c r="AX935" s="1">
        <f t="shared" si="147"/>
        <v>0</v>
      </c>
    </row>
    <row r="936" spans="1:50" s="1" customFormat="1" ht="24.95" customHeight="1" outlineLevel="3" x14ac:dyDescent="0.2">
      <c r="A936" s="11"/>
      <c r="B936" s="12">
        <v>690</v>
      </c>
      <c r="C936" s="12">
        <v>990</v>
      </c>
      <c r="D936" s="12">
        <v>25895</v>
      </c>
      <c r="E936" s="13" t="s">
        <v>3054</v>
      </c>
      <c r="F936" s="13" t="s">
        <v>3055</v>
      </c>
      <c r="G936" s="13" t="s">
        <v>56</v>
      </c>
      <c r="H936" s="13" t="s">
        <v>40</v>
      </c>
      <c r="I936" s="12">
        <v>2023</v>
      </c>
      <c r="J936" s="13" t="s">
        <v>3056</v>
      </c>
      <c r="K936" s="12">
        <v>9785961480368</v>
      </c>
      <c r="L936" s="13" t="s">
        <v>3057</v>
      </c>
      <c r="M936" s="12">
        <v>362</v>
      </c>
      <c r="N936" s="14">
        <v>0.7</v>
      </c>
      <c r="O936" s="12">
        <v>170</v>
      </c>
      <c r="P936" s="12">
        <v>240</v>
      </c>
      <c r="Q936" s="12">
        <v>6</v>
      </c>
      <c r="R936" s="13" t="s">
        <v>94</v>
      </c>
      <c r="S936" s="13"/>
      <c r="T936" s="15">
        <v>2000</v>
      </c>
      <c r="U936" s="13" t="s">
        <v>52</v>
      </c>
      <c r="V936" s="13" t="s">
        <v>45</v>
      </c>
      <c r="W936" s="12">
        <v>10</v>
      </c>
      <c r="X936" s="33" t="str">
        <f>HYPERLINK("https://www.alpinabook.ru/catalog/book-metavselennaya-kak-ona-menyaet-nash-mir","ссылка на книгу")</f>
        <v>ссылка на книгу</v>
      </c>
      <c r="Y936" s="34" t="str">
        <f>HYPERLINK("https://api-enni.alpina.ru/FilePrivilegesApproval/186","https://api-enni.alpina.ru/FilePrivilegesApproval/186")</f>
        <v>https://api-enni.alpina.ru/FilePrivilegesApproval/186</v>
      </c>
      <c r="Z936" s="13"/>
      <c r="AT936" s="1">
        <f t="shared" si="143"/>
        <v>0</v>
      </c>
      <c r="AU936" s="1">
        <f t="shared" si="144"/>
        <v>0</v>
      </c>
      <c r="AV936" s="1">
        <f t="shared" si="145"/>
        <v>0</v>
      </c>
      <c r="AW936" s="1">
        <f t="shared" si="146"/>
        <v>0</v>
      </c>
      <c r="AX936" s="1">
        <f t="shared" si="147"/>
        <v>0</v>
      </c>
    </row>
    <row r="937" spans="1:50" s="1" customFormat="1" ht="24.95" customHeight="1" outlineLevel="3" x14ac:dyDescent="0.2">
      <c r="A937" s="11"/>
      <c r="B937" s="12">
        <v>590</v>
      </c>
      <c r="C937" s="12">
        <v>590</v>
      </c>
      <c r="D937" s="12">
        <v>9023</v>
      </c>
      <c r="E937" s="13" t="s">
        <v>3058</v>
      </c>
      <c r="F937" s="13" t="s">
        <v>3059</v>
      </c>
      <c r="G937" s="13" t="s">
        <v>86</v>
      </c>
      <c r="H937" s="13" t="s">
        <v>40</v>
      </c>
      <c r="I937" s="12">
        <v>2020</v>
      </c>
      <c r="J937" s="13" t="s">
        <v>3060</v>
      </c>
      <c r="K937" s="12">
        <v>9785001390954</v>
      </c>
      <c r="L937" s="13" t="s">
        <v>3061</v>
      </c>
      <c r="M937" s="12">
        <v>326</v>
      </c>
      <c r="N937" s="14">
        <v>0.49</v>
      </c>
      <c r="O937" s="12">
        <v>146</v>
      </c>
      <c r="P937" s="12">
        <v>216</v>
      </c>
      <c r="Q937" s="12">
        <v>14</v>
      </c>
      <c r="R937" s="13" t="s">
        <v>43</v>
      </c>
      <c r="S937" s="13"/>
      <c r="T937" s="15">
        <v>3000</v>
      </c>
      <c r="U937" s="13" t="s">
        <v>52</v>
      </c>
      <c r="V937" s="13" t="s">
        <v>59</v>
      </c>
      <c r="W937" s="12">
        <v>10</v>
      </c>
      <c r="X937" s="33" t="str">
        <f>HYPERLINK("https://www.alpinabook.ru/catalog/book-562131","ссылка на книгу")</f>
        <v>ссылка на книгу</v>
      </c>
      <c r="Y937" s="34" t="str">
        <f>HYPERLINK("https://api-enni.alpina.ru/FilePrivilegesApproval/271","https://api-enni.alpina.ru/FilePrivilegesApproval/271")</f>
        <v>https://api-enni.alpina.ru/FilePrivilegesApproval/271</v>
      </c>
      <c r="Z937" s="13"/>
      <c r="AT937" s="1">
        <f t="shared" si="143"/>
        <v>0</v>
      </c>
      <c r="AU937" s="1">
        <f t="shared" si="144"/>
        <v>0</v>
      </c>
      <c r="AV937" s="1">
        <f t="shared" si="145"/>
        <v>0</v>
      </c>
      <c r="AW937" s="1">
        <f t="shared" si="146"/>
        <v>0</v>
      </c>
      <c r="AX937" s="1">
        <f t="shared" si="147"/>
        <v>0</v>
      </c>
    </row>
    <row r="938" spans="1:50" s="1" customFormat="1" ht="24.95" customHeight="1" outlineLevel="3" x14ac:dyDescent="0.2">
      <c r="A938" s="11"/>
      <c r="B938" s="12">
        <v>590</v>
      </c>
      <c r="C938" s="12">
        <v>890</v>
      </c>
      <c r="D938" s="12">
        <v>17379</v>
      </c>
      <c r="E938" s="13" t="s">
        <v>3062</v>
      </c>
      <c r="F938" s="13" t="s">
        <v>3063</v>
      </c>
      <c r="G938" s="13" t="s">
        <v>86</v>
      </c>
      <c r="H938" s="13" t="s">
        <v>40</v>
      </c>
      <c r="I938" s="12">
        <v>2021</v>
      </c>
      <c r="J938" s="13" t="s">
        <v>3064</v>
      </c>
      <c r="K938" s="12">
        <v>9785001392088</v>
      </c>
      <c r="L938" s="13" t="s">
        <v>3065</v>
      </c>
      <c r="M938" s="12">
        <v>254</v>
      </c>
      <c r="N938" s="14">
        <v>0.41</v>
      </c>
      <c r="O938" s="12">
        <v>146</v>
      </c>
      <c r="P938" s="12">
        <v>216</v>
      </c>
      <c r="Q938" s="12">
        <v>12</v>
      </c>
      <c r="R938" s="13" t="s">
        <v>43</v>
      </c>
      <c r="S938" s="13" t="s">
        <v>2618</v>
      </c>
      <c r="T938" s="15">
        <v>3000</v>
      </c>
      <c r="U938" s="13" t="s">
        <v>52</v>
      </c>
      <c r="V938" s="13" t="s">
        <v>59</v>
      </c>
      <c r="W938" s="12">
        <v>10</v>
      </c>
      <c r="X938" s="33" t="str">
        <f>HYPERLINK("https://www.alpinabook.ru/catalog/book-655225","ссылка на книгу")</f>
        <v>ссылка на книгу</v>
      </c>
      <c r="Y938" s="34" t="str">
        <f>HYPERLINK("https://api-enni.alpina.ru/FilePrivilegesApproval/226","https://api-enni.alpina.ru/FilePrivilegesApproval/226")</f>
        <v>https://api-enni.alpina.ru/FilePrivilegesApproval/226</v>
      </c>
      <c r="Z938" s="13"/>
      <c r="AT938" s="1">
        <f t="shared" si="143"/>
        <v>0</v>
      </c>
      <c r="AU938" s="1">
        <f t="shared" si="144"/>
        <v>0</v>
      </c>
      <c r="AV938" s="1">
        <f t="shared" si="145"/>
        <v>0</v>
      </c>
      <c r="AW938" s="1">
        <f t="shared" si="146"/>
        <v>0</v>
      </c>
      <c r="AX938" s="1">
        <f t="shared" si="147"/>
        <v>0</v>
      </c>
    </row>
    <row r="939" spans="1:50" s="1" customFormat="1" ht="21.95" customHeight="1" outlineLevel="3" x14ac:dyDescent="0.2">
      <c r="A939" s="11"/>
      <c r="B939" s="12">
        <v>890</v>
      </c>
      <c r="C939" s="15">
        <v>1290</v>
      </c>
      <c r="D939" s="12">
        <v>31748</v>
      </c>
      <c r="E939" s="13" t="s">
        <v>3066</v>
      </c>
      <c r="F939" s="13" t="s">
        <v>3067</v>
      </c>
      <c r="G939" s="13" t="s">
        <v>97</v>
      </c>
      <c r="H939" s="13" t="s">
        <v>40</v>
      </c>
      <c r="I939" s="12">
        <v>2024</v>
      </c>
      <c r="J939" s="13" t="s">
        <v>3068</v>
      </c>
      <c r="K939" s="12">
        <v>9785206003840</v>
      </c>
      <c r="L939" s="13" t="s">
        <v>3069</v>
      </c>
      <c r="M939" s="12">
        <v>192</v>
      </c>
      <c r="N939" s="14">
        <v>0.43</v>
      </c>
      <c r="O939" s="12">
        <v>170</v>
      </c>
      <c r="P939" s="12">
        <v>240</v>
      </c>
      <c r="Q939" s="12">
        <v>10</v>
      </c>
      <c r="R939" s="13" t="s">
        <v>94</v>
      </c>
      <c r="S939" s="13"/>
      <c r="T939" s="15">
        <v>2005</v>
      </c>
      <c r="U939" s="13" t="s">
        <v>52</v>
      </c>
      <c r="V939" s="13" t="s">
        <v>89</v>
      </c>
      <c r="W939" s="12">
        <v>20</v>
      </c>
      <c r="X939" s="33" t="str">
        <f>HYPERLINK("https://www.alpinabook.ru/catalog/book-novye-miry-obrazovaniya","ссылка на книгу")</f>
        <v>ссылка на книгу</v>
      </c>
      <c r="Y939" s="34" t="str">
        <f>HYPERLINK("","")</f>
        <v/>
      </c>
      <c r="Z939" s="13" t="s">
        <v>1406</v>
      </c>
      <c r="AT939" s="1">
        <f t="shared" si="143"/>
        <v>0</v>
      </c>
      <c r="AU939" s="1">
        <f t="shared" si="144"/>
        <v>0</v>
      </c>
      <c r="AV939" s="1">
        <f t="shared" si="145"/>
        <v>0</v>
      </c>
      <c r="AW939" s="1">
        <f t="shared" si="146"/>
        <v>0</v>
      </c>
      <c r="AX939" s="1">
        <f t="shared" si="147"/>
        <v>0</v>
      </c>
    </row>
    <row r="940" spans="1:50" s="1" customFormat="1" ht="24.95" customHeight="1" outlineLevel="3" x14ac:dyDescent="0.2">
      <c r="A940" s="11"/>
      <c r="B940" s="12">
        <v>690</v>
      </c>
      <c r="C940" s="12">
        <v>890</v>
      </c>
      <c r="D940" s="12">
        <v>25413</v>
      </c>
      <c r="E940" s="13" t="s">
        <v>3070</v>
      </c>
      <c r="F940" s="13" t="s">
        <v>3071</v>
      </c>
      <c r="G940" s="13" t="s">
        <v>86</v>
      </c>
      <c r="H940" s="13" t="s">
        <v>40</v>
      </c>
      <c r="I940" s="12">
        <v>2023</v>
      </c>
      <c r="J940" s="13" t="s">
        <v>3072</v>
      </c>
      <c r="K940" s="12">
        <v>9785001396697</v>
      </c>
      <c r="L940" s="13" t="s">
        <v>3073</v>
      </c>
      <c r="M940" s="12">
        <v>398</v>
      </c>
      <c r="N940" s="14">
        <v>0.48</v>
      </c>
      <c r="O940" s="12">
        <v>140</v>
      </c>
      <c r="P940" s="12">
        <v>210</v>
      </c>
      <c r="Q940" s="12">
        <v>12</v>
      </c>
      <c r="R940" s="13" t="s">
        <v>43</v>
      </c>
      <c r="S940" s="13"/>
      <c r="T940" s="15">
        <v>2000</v>
      </c>
      <c r="U940" s="13" t="s">
        <v>44</v>
      </c>
      <c r="V940" s="13" t="s">
        <v>59</v>
      </c>
      <c r="W940" s="12">
        <v>10</v>
      </c>
      <c r="X940" s="33" t="str">
        <f>HYPERLINK("https://www.alpinabook.ru/catalog/book-pereproshivka","ссылка на книгу")</f>
        <v>ссылка на книгу</v>
      </c>
      <c r="Y940" s="34" t="str">
        <f>HYPERLINK("https://api-enni.alpina.ru/FilePrivilegesApproval/241","https://api-enni.alpina.ru/FilePrivilegesApproval/241")</f>
        <v>https://api-enni.alpina.ru/FilePrivilegesApproval/241</v>
      </c>
      <c r="Z940" s="13"/>
      <c r="AT940" s="1">
        <f t="shared" si="143"/>
        <v>0</v>
      </c>
      <c r="AU940" s="1">
        <f t="shared" si="144"/>
        <v>0</v>
      </c>
      <c r="AV940" s="1">
        <f t="shared" si="145"/>
        <v>0</v>
      </c>
      <c r="AW940" s="1">
        <f t="shared" si="146"/>
        <v>0</v>
      </c>
      <c r="AX940" s="1">
        <f t="shared" si="147"/>
        <v>0</v>
      </c>
    </row>
    <row r="941" spans="1:50" s="1" customFormat="1" ht="24.95" customHeight="1" outlineLevel="3" x14ac:dyDescent="0.2">
      <c r="A941" s="11"/>
      <c r="B941" s="12">
        <v>890</v>
      </c>
      <c r="C941" s="12">
        <v>890</v>
      </c>
      <c r="D941" s="12">
        <v>22772</v>
      </c>
      <c r="E941" s="13" t="s">
        <v>3074</v>
      </c>
      <c r="F941" s="13" t="s">
        <v>3075</v>
      </c>
      <c r="G941" s="13" t="s">
        <v>97</v>
      </c>
      <c r="H941" s="13" t="s">
        <v>40</v>
      </c>
      <c r="I941" s="12">
        <v>2022</v>
      </c>
      <c r="J941" s="13" t="s">
        <v>3076</v>
      </c>
      <c r="K941" s="12">
        <v>9785907470897</v>
      </c>
      <c r="L941" s="13" t="s">
        <v>3077</v>
      </c>
      <c r="M941" s="12">
        <v>112</v>
      </c>
      <c r="N941" s="14">
        <v>0.31</v>
      </c>
      <c r="O941" s="12">
        <v>168</v>
      </c>
      <c r="P941" s="12">
        <v>241</v>
      </c>
      <c r="Q941" s="12">
        <v>12</v>
      </c>
      <c r="R941" s="13" t="s">
        <v>94</v>
      </c>
      <c r="S941" s="13"/>
      <c r="T941" s="15">
        <v>1500</v>
      </c>
      <c r="U941" s="13" t="s">
        <v>52</v>
      </c>
      <c r="V941" s="13" t="s">
        <v>59</v>
      </c>
      <c r="W941" s="12">
        <v>10</v>
      </c>
      <c r="X941" s="33" t="str">
        <f>HYPERLINK("https://www.alpinabook.ru/catalog/book-perekhod-v-oblako","ссылка на книгу")</f>
        <v>ссылка на книгу</v>
      </c>
      <c r="Y941" s="34" t="str">
        <f>HYPERLINK("https://api-enni.alpina.ru/FilePrivilegesApproval/129","https://api-enni.alpina.ru/FilePrivilegesApproval/129")</f>
        <v>https://api-enni.alpina.ru/FilePrivilegesApproval/129</v>
      </c>
      <c r="Z941" s="13"/>
      <c r="AT941" s="1">
        <f t="shared" si="143"/>
        <v>0</v>
      </c>
      <c r="AU941" s="1">
        <f t="shared" si="144"/>
        <v>0</v>
      </c>
      <c r="AV941" s="1">
        <f t="shared" si="145"/>
        <v>0</v>
      </c>
      <c r="AW941" s="1">
        <f t="shared" si="146"/>
        <v>0</v>
      </c>
      <c r="AX941" s="1">
        <f t="shared" si="147"/>
        <v>0</v>
      </c>
    </row>
    <row r="942" spans="1:50" s="1" customFormat="1" ht="24.95" customHeight="1" outlineLevel="3" x14ac:dyDescent="0.2">
      <c r="A942" s="26"/>
      <c r="B942" s="27">
        <v>740</v>
      </c>
      <c r="C942" s="27">
        <v>740</v>
      </c>
      <c r="D942" s="27">
        <v>12015</v>
      </c>
      <c r="E942" s="29" t="s">
        <v>3078</v>
      </c>
      <c r="F942" s="29" t="s">
        <v>3079</v>
      </c>
      <c r="G942" s="29" t="s">
        <v>56</v>
      </c>
      <c r="H942" s="29" t="s">
        <v>40</v>
      </c>
      <c r="I942" s="27">
        <v>2020</v>
      </c>
      <c r="J942" s="29" t="s">
        <v>3080</v>
      </c>
      <c r="K942" s="27">
        <v>9785961430288</v>
      </c>
      <c r="L942" s="29" t="s">
        <v>3081</v>
      </c>
      <c r="M942" s="27">
        <v>216</v>
      </c>
      <c r="N942" s="30">
        <v>0.44</v>
      </c>
      <c r="O942" s="27">
        <v>163</v>
      </c>
      <c r="P942" s="27">
        <v>235</v>
      </c>
      <c r="Q942" s="27">
        <v>8</v>
      </c>
      <c r="R942" s="29" t="s">
        <v>94</v>
      </c>
      <c r="S942" s="29"/>
      <c r="T942" s="28">
        <v>2500</v>
      </c>
      <c r="U942" s="29" t="s">
        <v>44</v>
      </c>
      <c r="V942" s="29" t="s">
        <v>64</v>
      </c>
      <c r="W942" s="27">
        <v>10</v>
      </c>
      <c r="X942" s="37" t="str">
        <f>HYPERLINK("https://www.alpinabook.ru/catalog/book-593493","ссылка на книгу")</f>
        <v>ссылка на книгу</v>
      </c>
      <c r="Y942" s="38" t="str">
        <f>HYPERLINK("https://api-enni.alpina.ru/FilePrivilegesApproval/34","https://api-enni.alpina.ru/FilePrivilegesApproval/34")</f>
        <v>https://api-enni.alpina.ru/FilePrivilegesApproval/34</v>
      </c>
      <c r="Z942" s="29"/>
      <c r="AT942" s="1">
        <f t="shared" si="143"/>
        <v>0</v>
      </c>
      <c r="AU942" s="1">
        <f t="shared" si="144"/>
        <v>0</v>
      </c>
      <c r="AV942" s="1">
        <f t="shared" si="145"/>
        <v>0</v>
      </c>
      <c r="AW942" s="1">
        <f t="shared" si="146"/>
        <v>0</v>
      </c>
      <c r="AX942" s="1">
        <f t="shared" si="147"/>
        <v>0</v>
      </c>
    </row>
    <row r="943" spans="1:50" s="1" customFormat="1" ht="24.95" customHeight="1" outlineLevel="3" x14ac:dyDescent="0.2">
      <c r="A943" s="11"/>
      <c r="B943" s="12">
        <v>940</v>
      </c>
      <c r="C943" s="12">
        <v>940</v>
      </c>
      <c r="D943" s="12">
        <v>19209</v>
      </c>
      <c r="E943" s="13" t="s">
        <v>3082</v>
      </c>
      <c r="F943" s="13" t="s">
        <v>3083</v>
      </c>
      <c r="G943" s="13" t="s">
        <v>97</v>
      </c>
      <c r="H943" s="13" t="s">
        <v>40</v>
      </c>
      <c r="I943" s="12">
        <v>2022</v>
      </c>
      <c r="J943" s="13" t="s">
        <v>3084</v>
      </c>
      <c r="K943" s="12">
        <v>9785907470125</v>
      </c>
      <c r="L943" s="13" t="s">
        <v>3085</v>
      </c>
      <c r="M943" s="12">
        <v>328</v>
      </c>
      <c r="N943" s="14">
        <v>0.76</v>
      </c>
      <c r="O943" s="12">
        <v>168</v>
      </c>
      <c r="P943" s="12">
        <v>241</v>
      </c>
      <c r="Q943" s="12">
        <v>5</v>
      </c>
      <c r="R943" s="13" t="s">
        <v>94</v>
      </c>
      <c r="S943" s="13"/>
      <c r="T943" s="15">
        <v>1500</v>
      </c>
      <c r="U943" s="13" t="s">
        <v>52</v>
      </c>
      <c r="V943" s="13" t="s">
        <v>59</v>
      </c>
      <c r="W943" s="12">
        <v>10</v>
      </c>
      <c r="X943" s="33" t="str">
        <f>HYPERLINK("https://www.alpinabook.ru/catalog/book-puteshestvie-k-oblaku","ссылка на книгу")</f>
        <v>ссылка на книгу</v>
      </c>
      <c r="Y943" s="34" t="str">
        <f>HYPERLINK("https://api-enni.alpina.ru/FilePrivilegesApproval/708","https://api-enni.alpina.ru/FilePrivilegesApproval/708")</f>
        <v>https://api-enni.alpina.ru/FilePrivilegesApproval/708</v>
      </c>
      <c r="Z943" s="13"/>
      <c r="AT943" s="1">
        <f t="shared" si="143"/>
        <v>0</v>
      </c>
      <c r="AU943" s="1">
        <f t="shared" si="144"/>
        <v>0</v>
      </c>
      <c r="AV943" s="1">
        <f t="shared" si="145"/>
        <v>0</v>
      </c>
      <c r="AW943" s="1">
        <f t="shared" si="146"/>
        <v>0</v>
      </c>
      <c r="AX943" s="1">
        <f t="shared" si="147"/>
        <v>0</v>
      </c>
    </row>
    <row r="944" spans="1:50" s="1" customFormat="1" ht="21.95" customHeight="1" outlineLevel="3" x14ac:dyDescent="0.2">
      <c r="A944" s="11"/>
      <c r="B944" s="12">
        <v>890</v>
      </c>
      <c r="C944" s="15">
        <v>1290</v>
      </c>
      <c r="D944" s="12">
        <v>20613</v>
      </c>
      <c r="E944" s="13" t="s">
        <v>2899</v>
      </c>
      <c r="F944" s="13" t="s">
        <v>3086</v>
      </c>
      <c r="G944" s="13" t="s">
        <v>97</v>
      </c>
      <c r="H944" s="13"/>
      <c r="I944" s="12">
        <v>2021</v>
      </c>
      <c r="J944" s="13" t="s">
        <v>3087</v>
      </c>
      <c r="K944" s="12">
        <v>9785907394186</v>
      </c>
      <c r="L944" s="13" t="s">
        <v>3088</v>
      </c>
      <c r="M944" s="12">
        <v>240</v>
      </c>
      <c r="N944" s="14">
        <v>0.46</v>
      </c>
      <c r="O944" s="12">
        <v>150</v>
      </c>
      <c r="P944" s="12">
        <v>220</v>
      </c>
      <c r="Q944" s="12">
        <v>10</v>
      </c>
      <c r="R944" s="13" t="s">
        <v>43</v>
      </c>
      <c r="S944" s="13"/>
      <c r="T944" s="15">
        <v>3000</v>
      </c>
      <c r="U944" s="13" t="s">
        <v>52</v>
      </c>
      <c r="V944" s="13" t="s">
        <v>59</v>
      </c>
      <c r="W944" s="12">
        <v>10</v>
      </c>
      <c r="X944" s="33" t="str">
        <f>HYPERLINK("https://www.alpinabook.ru/catalog/book-691229","ссылка на книгу")</f>
        <v>ссылка на книгу</v>
      </c>
      <c r="Y944" s="34" t="str">
        <f>HYPERLINK("","")</f>
        <v/>
      </c>
      <c r="Z944" s="13"/>
      <c r="AT944" s="1">
        <f t="shared" si="143"/>
        <v>0</v>
      </c>
      <c r="AU944" s="1">
        <f t="shared" si="144"/>
        <v>0</v>
      </c>
      <c r="AV944" s="1">
        <f t="shared" si="145"/>
        <v>0</v>
      </c>
      <c r="AW944" s="1">
        <f t="shared" si="146"/>
        <v>0</v>
      </c>
      <c r="AX944" s="1">
        <f t="shared" si="147"/>
        <v>0</v>
      </c>
    </row>
    <row r="945" spans="1:50" s="1" customFormat="1" ht="24.95" customHeight="1" outlineLevel="3" x14ac:dyDescent="0.2">
      <c r="A945" s="11"/>
      <c r="B945" s="12">
        <v>690</v>
      </c>
      <c r="C945" s="12">
        <v>790</v>
      </c>
      <c r="D945" s="12">
        <v>17404</v>
      </c>
      <c r="E945" s="13" t="s">
        <v>3089</v>
      </c>
      <c r="F945" s="13" t="s">
        <v>3090</v>
      </c>
      <c r="G945" s="13" t="s">
        <v>86</v>
      </c>
      <c r="H945" s="13" t="s">
        <v>40</v>
      </c>
      <c r="I945" s="12">
        <v>2020</v>
      </c>
      <c r="J945" s="13" t="s">
        <v>3091</v>
      </c>
      <c r="K945" s="12">
        <v>9785001392880</v>
      </c>
      <c r="L945" s="13" t="s">
        <v>3092</v>
      </c>
      <c r="M945" s="12">
        <v>438</v>
      </c>
      <c r="N945" s="14">
        <v>0.63</v>
      </c>
      <c r="O945" s="12">
        <v>146</v>
      </c>
      <c r="P945" s="12">
        <v>216</v>
      </c>
      <c r="Q945" s="12">
        <v>10</v>
      </c>
      <c r="R945" s="13" t="s">
        <v>43</v>
      </c>
      <c r="S945" s="13"/>
      <c r="T945" s="15">
        <v>4000</v>
      </c>
      <c r="U945" s="13" t="s">
        <v>52</v>
      </c>
      <c r="V945" s="13" t="s">
        <v>59</v>
      </c>
      <c r="W945" s="12">
        <v>10</v>
      </c>
      <c r="X945" s="33" t="str">
        <f>HYPERLINK("https://www.alpinabook.ru/catalog/book-669703","ссылка на книгу")</f>
        <v>ссылка на книгу</v>
      </c>
      <c r="Y945" s="34" t="str">
        <f>HYPERLINK("https://api-enni.alpina.ru/FilePrivilegesApproval/259","https://api-enni.alpina.ru/FilePrivilegesApproval/259")</f>
        <v>https://api-enni.alpina.ru/FilePrivilegesApproval/259</v>
      </c>
      <c r="Z945" s="13"/>
      <c r="AT945" s="1">
        <f t="shared" si="143"/>
        <v>0</v>
      </c>
      <c r="AU945" s="1">
        <f t="shared" si="144"/>
        <v>0</v>
      </c>
      <c r="AV945" s="1">
        <f t="shared" si="145"/>
        <v>0</v>
      </c>
      <c r="AW945" s="1">
        <f t="shared" si="146"/>
        <v>0</v>
      </c>
      <c r="AX945" s="1">
        <f t="shared" si="147"/>
        <v>0</v>
      </c>
    </row>
    <row r="946" spans="1:50" s="1" customFormat="1" ht="24.95" customHeight="1" outlineLevel="3" x14ac:dyDescent="0.2">
      <c r="A946" s="11"/>
      <c r="B946" s="12">
        <v>720</v>
      </c>
      <c r="C946" s="15">
        <v>1090</v>
      </c>
      <c r="D946" s="12">
        <v>20710</v>
      </c>
      <c r="E946" s="13" t="s">
        <v>3093</v>
      </c>
      <c r="F946" s="13" t="s">
        <v>3094</v>
      </c>
      <c r="G946" s="13" t="s">
        <v>56</v>
      </c>
      <c r="H946" s="13"/>
      <c r="I946" s="12">
        <v>2025</v>
      </c>
      <c r="J946" s="13" t="s">
        <v>3095</v>
      </c>
      <c r="K946" s="12">
        <v>9785961473667</v>
      </c>
      <c r="L946" s="13" t="s">
        <v>3096</v>
      </c>
      <c r="M946" s="12">
        <v>482</v>
      </c>
      <c r="N946" s="14">
        <v>0.67</v>
      </c>
      <c r="O946" s="12">
        <v>150</v>
      </c>
      <c r="P946" s="12">
        <v>220</v>
      </c>
      <c r="Q946" s="12">
        <v>4</v>
      </c>
      <c r="R946" s="13" t="s">
        <v>43</v>
      </c>
      <c r="S946" s="13"/>
      <c r="T946" s="15">
        <v>1000</v>
      </c>
      <c r="U946" s="13" t="s">
        <v>52</v>
      </c>
      <c r="V946" s="13" t="s">
        <v>45</v>
      </c>
      <c r="W946" s="12">
        <v>10</v>
      </c>
      <c r="X946" s="33" t="str">
        <f>HYPERLINK("https://www.alpinabook.ru/catalog/book-forma-zhizni-4","ссылка на книгу")</f>
        <v>ссылка на книгу</v>
      </c>
      <c r="Y946" s="34" t="str">
        <f>HYPERLINK("https://api-enni.alpina.ru/FilePrivilegesApproval/141","https://api-enni.alpina.ru/FilePrivilegesApproval/141")</f>
        <v>https://api-enni.alpina.ru/FilePrivilegesApproval/141</v>
      </c>
      <c r="Z946" s="13" t="s">
        <v>567</v>
      </c>
      <c r="AT946" s="1">
        <f t="shared" si="143"/>
        <v>0</v>
      </c>
      <c r="AU946" s="1">
        <f t="shared" si="144"/>
        <v>0</v>
      </c>
      <c r="AV946" s="1">
        <f t="shared" si="145"/>
        <v>0</v>
      </c>
      <c r="AW946" s="1">
        <f t="shared" si="146"/>
        <v>0</v>
      </c>
      <c r="AX946" s="1">
        <f t="shared" si="147"/>
        <v>0</v>
      </c>
    </row>
    <row r="947" spans="1:50" s="1" customFormat="1" ht="21.95" customHeight="1" outlineLevel="3" x14ac:dyDescent="0.2">
      <c r="A947" s="11"/>
      <c r="B947" s="15">
        <v>1490</v>
      </c>
      <c r="C947" s="15">
        <v>1890</v>
      </c>
      <c r="D947" s="12">
        <v>28949</v>
      </c>
      <c r="E947" s="13" t="s">
        <v>3097</v>
      </c>
      <c r="F947" s="13" t="s">
        <v>3098</v>
      </c>
      <c r="G947" s="13" t="s">
        <v>97</v>
      </c>
      <c r="H947" s="13"/>
      <c r="I947" s="12">
        <v>2024</v>
      </c>
      <c r="J947" s="13" t="s">
        <v>3099</v>
      </c>
      <c r="K947" s="12">
        <v>9785206002447</v>
      </c>
      <c r="L947" s="13" t="s">
        <v>3100</v>
      </c>
      <c r="M947" s="12">
        <v>456</v>
      </c>
      <c r="N947" s="14">
        <v>1.03</v>
      </c>
      <c r="O947" s="12">
        <v>170</v>
      </c>
      <c r="P947" s="12">
        <v>250</v>
      </c>
      <c r="Q947" s="12">
        <v>4</v>
      </c>
      <c r="R947" s="13" t="s">
        <v>94</v>
      </c>
      <c r="S947" s="13"/>
      <c r="T947" s="15">
        <v>1505</v>
      </c>
      <c r="U947" s="13" t="s">
        <v>52</v>
      </c>
      <c r="V947" s="13" t="s">
        <v>89</v>
      </c>
      <c r="W947" s="12">
        <v>20</v>
      </c>
      <c r="X947" s="33" t="str">
        <f>HYPERLINK("https://www.alpinabook.ru/catalog/book-tsennost-vashikh-resheniy","ссылка на книгу")</f>
        <v>ссылка на книгу</v>
      </c>
      <c r="Y947" s="34" t="str">
        <f>HYPERLINK("","")</f>
        <v/>
      </c>
      <c r="Z947" s="13"/>
      <c r="AT947" s="1">
        <f t="shared" si="143"/>
        <v>0</v>
      </c>
      <c r="AU947" s="1">
        <f t="shared" si="144"/>
        <v>0</v>
      </c>
      <c r="AV947" s="1">
        <f t="shared" si="145"/>
        <v>0</v>
      </c>
      <c r="AW947" s="1">
        <f t="shared" si="146"/>
        <v>0</v>
      </c>
      <c r="AX947" s="1">
        <f t="shared" si="147"/>
        <v>0</v>
      </c>
    </row>
    <row r="948" spans="1:50" s="1" customFormat="1" ht="24.95" customHeight="1" outlineLevel="3" x14ac:dyDescent="0.2">
      <c r="A948" s="26"/>
      <c r="B948" s="27">
        <v>990</v>
      </c>
      <c r="C948" s="28">
        <v>1490</v>
      </c>
      <c r="D948" s="27">
        <v>26509</v>
      </c>
      <c r="E948" s="29" t="s">
        <v>3101</v>
      </c>
      <c r="F948" s="29" t="s">
        <v>3102</v>
      </c>
      <c r="G948" s="29" t="s">
        <v>97</v>
      </c>
      <c r="H948" s="29" t="s">
        <v>40</v>
      </c>
      <c r="I948" s="27">
        <v>2023</v>
      </c>
      <c r="J948" s="29" t="s">
        <v>3103</v>
      </c>
      <c r="K948" s="27">
        <v>9785206000801</v>
      </c>
      <c r="L948" s="29" t="s">
        <v>3104</v>
      </c>
      <c r="M948" s="27">
        <v>205</v>
      </c>
      <c r="N948" s="30">
        <v>0.5</v>
      </c>
      <c r="O948" s="27">
        <v>170</v>
      </c>
      <c r="P948" s="27">
        <v>250</v>
      </c>
      <c r="Q948" s="27">
        <v>8</v>
      </c>
      <c r="R948" s="29" t="s">
        <v>94</v>
      </c>
      <c r="S948" s="29"/>
      <c r="T948" s="28">
        <v>1000</v>
      </c>
      <c r="U948" s="29" t="s">
        <v>52</v>
      </c>
      <c r="V948" s="29" t="s">
        <v>59</v>
      </c>
      <c r="W948" s="27">
        <v>10</v>
      </c>
      <c r="X948" s="37" t="str">
        <f>HYPERLINK("https://www.alpinabook.ru/catalog/book-shifrovalshchiki","ссылка на книгу")</f>
        <v>ссылка на книгу</v>
      </c>
      <c r="Y948" s="38" t="str">
        <f>HYPERLINK("https://api-enni.alpina.ru/FilePrivilegesApproval/168","https://api-enni.alpina.ru/FilePrivilegesApproval/168")</f>
        <v>https://api-enni.alpina.ru/FilePrivilegesApproval/168</v>
      </c>
      <c r="Z948" s="29"/>
      <c r="AT948" s="1">
        <f t="shared" si="143"/>
        <v>0</v>
      </c>
      <c r="AU948" s="1">
        <f t="shared" si="144"/>
        <v>0</v>
      </c>
      <c r="AV948" s="1">
        <f t="shared" si="145"/>
        <v>0</v>
      </c>
      <c r="AW948" s="1">
        <f t="shared" si="146"/>
        <v>0</v>
      </c>
      <c r="AX948" s="1">
        <f t="shared" si="147"/>
        <v>0</v>
      </c>
    </row>
    <row r="949" spans="1:50" ht="11.1" customHeight="1" outlineLevel="2" x14ac:dyDescent="0.2">
      <c r="A949" s="40" t="s">
        <v>3105</v>
      </c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20"/>
    </row>
    <row r="950" spans="1:50" s="1" customFormat="1" ht="24.95" customHeight="1" outlineLevel="3" x14ac:dyDescent="0.2">
      <c r="A950" s="26"/>
      <c r="B950" s="27">
        <v>590</v>
      </c>
      <c r="C950" s="27">
        <v>840</v>
      </c>
      <c r="D950" s="27">
        <v>17746</v>
      </c>
      <c r="E950" s="29" t="s">
        <v>3106</v>
      </c>
      <c r="F950" s="29" t="s">
        <v>3107</v>
      </c>
      <c r="G950" s="29" t="s">
        <v>86</v>
      </c>
      <c r="H950" s="29"/>
      <c r="I950" s="27">
        <v>2020</v>
      </c>
      <c r="J950" s="29" t="s">
        <v>3108</v>
      </c>
      <c r="K950" s="27">
        <v>9785001392873</v>
      </c>
      <c r="L950" s="29" t="s">
        <v>3109</v>
      </c>
      <c r="M950" s="27">
        <v>270</v>
      </c>
      <c r="N950" s="30">
        <v>0.42</v>
      </c>
      <c r="O950" s="27">
        <v>146</v>
      </c>
      <c r="P950" s="27">
        <v>216</v>
      </c>
      <c r="Q950" s="27">
        <v>14</v>
      </c>
      <c r="R950" s="29" t="s">
        <v>43</v>
      </c>
      <c r="S950" s="29"/>
      <c r="T950" s="28">
        <v>2000</v>
      </c>
      <c r="U950" s="29" t="s">
        <v>52</v>
      </c>
      <c r="V950" s="29" t="s">
        <v>59</v>
      </c>
      <c r="W950" s="27">
        <v>10</v>
      </c>
      <c r="X950" s="37" t="str">
        <f>HYPERLINK("https://www.alpinabook.ru/catalog/book-656763","ссылка на книгу")</f>
        <v>ссылка на книгу</v>
      </c>
      <c r="Y950" s="38" t="str">
        <f>HYPERLINK("https://api-enni.alpina.ru/FilePrivilegesApproval/259","https://api-enni.alpina.ru/FilePrivilegesApproval/259")</f>
        <v>https://api-enni.alpina.ru/FilePrivilegesApproval/259</v>
      </c>
      <c r="Z950" s="29"/>
      <c r="AT950" s="1">
        <f t="shared" ref="AT950:AT963" si="148">IF($A950&lt;&gt;0,1,0)</f>
        <v>0</v>
      </c>
      <c r="AU950" s="1">
        <f t="shared" ref="AU950:AU963" si="149">$A950*$B950</f>
        <v>0</v>
      </c>
      <c r="AV950" s="1">
        <f t="shared" ref="AV950:AV963" si="150">$A950*$N950</f>
        <v>0</v>
      </c>
      <c r="AW950" s="1">
        <f t="shared" ref="AW950:AW963" si="151">IF($Q950=0,0,INT($A950/$Q950))</f>
        <v>0</v>
      </c>
      <c r="AX950" s="1">
        <f t="shared" ref="AX950:AX963" si="152">$A950-$AW950*$Q950</f>
        <v>0</v>
      </c>
    </row>
    <row r="951" spans="1:50" s="1" customFormat="1" ht="24.95" customHeight="1" outlineLevel="3" x14ac:dyDescent="0.2">
      <c r="A951" s="11"/>
      <c r="B951" s="12">
        <v>690</v>
      </c>
      <c r="C951" s="12">
        <v>990</v>
      </c>
      <c r="D951" s="12">
        <v>7918</v>
      </c>
      <c r="E951" s="13" t="s">
        <v>3110</v>
      </c>
      <c r="F951" s="13" t="s">
        <v>3111</v>
      </c>
      <c r="G951" s="13" t="s">
        <v>56</v>
      </c>
      <c r="H951" s="13"/>
      <c r="I951" s="12">
        <v>2021</v>
      </c>
      <c r="J951" s="13" t="s">
        <v>3112</v>
      </c>
      <c r="K951" s="12">
        <v>9785961441093</v>
      </c>
      <c r="L951" s="13" t="s">
        <v>3113</v>
      </c>
      <c r="M951" s="12">
        <v>696</v>
      </c>
      <c r="N951" s="14">
        <v>0.86</v>
      </c>
      <c r="O951" s="12">
        <v>147</v>
      </c>
      <c r="P951" s="12">
        <v>216</v>
      </c>
      <c r="Q951" s="12">
        <v>6</v>
      </c>
      <c r="R951" s="13" t="s">
        <v>43</v>
      </c>
      <c r="S951" s="13"/>
      <c r="T951" s="15">
        <v>1500</v>
      </c>
      <c r="U951" s="13" t="s">
        <v>52</v>
      </c>
      <c r="V951" s="13" t="s">
        <v>59</v>
      </c>
      <c r="W951" s="12">
        <v>10</v>
      </c>
      <c r="X951" s="33" t="str">
        <f>HYPERLINK("https://www.alpinabook.ru/catalog/book-468841","ссылка на книгу")</f>
        <v>ссылка на книгу</v>
      </c>
      <c r="Y951" s="34" t="str">
        <f>HYPERLINK("https://api-enni.alpina.ru/FilePrivilegesApproval/2","https://api-enni.alpina.ru/FilePrivilegesApproval/2")</f>
        <v>https://api-enni.alpina.ru/FilePrivilegesApproval/2</v>
      </c>
      <c r="Z951" s="13"/>
      <c r="AT951" s="1">
        <f t="shared" si="148"/>
        <v>0</v>
      </c>
      <c r="AU951" s="1">
        <f t="shared" si="149"/>
        <v>0</v>
      </c>
      <c r="AV951" s="1">
        <f t="shared" si="150"/>
        <v>0</v>
      </c>
      <c r="AW951" s="1">
        <f t="shared" si="151"/>
        <v>0</v>
      </c>
      <c r="AX951" s="1">
        <f t="shared" si="152"/>
        <v>0</v>
      </c>
    </row>
    <row r="952" spans="1:50" s="1" customFormat="1" ht="24.95" customHeight="1" outlineLevel="3" x14ac:dyDescent="0.2">
      <c r="A952" s="11"/>
      <c r="B952" s="12">
        <v>990</v>
      </c>
      <c r="C952" s="15">
        <v>1290</v>
      </c>
      <c r="D952" s="12">
        <v>4968</v>
      </c>
      <c r="E952" s="13" t="s">
        <v>559</v>
      </c>
      <c r="F952" s="13" t="s">
        <v>3114</v>
      </c>
      <c r="G952" s="13" t="s">
        <v>86</v>
      </c>
      <c r="H952" s="13" t="s">
        <v>40</v>
      </c>
      <c r="I952" s="12">
        <v>2018</v>
      </c>
      <c r="J952" s="13" t="s">
        <v>3115</v>
      </c>
      <c r="K952" s="12">
        <v>9785916717884</v>
      </c>
      <c r="L952" s="13" t="s">
        <v>3116</v>
      </c>
      <c r="M952" s="12">
        <v>406</v>
      </c>
      <c r="N952" s="14">
        <v>0.61</v>
      </c>
      <c r="O952" s="12">
        <v>153</v>
      </c>
      <c r="P952" s="12">
        <v>216</v>
      </c>
      <c r="Q952" s="12">
        <v>10</v>
      </c>
      <c r="R952" s="13" t="s">
        <v>43</v>
      </c>
      <c r="S952" s="13"/>
      <c r="T952" s="15">
        <v>2000</v>
      </c>
      <c r="U952" s="13" t="s">
        <v>52</v>
      </c>
      <c r="V952" s="13" t="s">
        <v>59</v>
      </c>
      <c r="W952" s="12">
        <v>10</v>
      </c>
      <c r="X952" s="33" t="str">
        <f>HYPERLINK("https://www.alpinabook.ru/catalog/book-golubaya-tochka","ссылка на книгу")</f>
        <v>ссылка на книгу</v>
      </c>
      <c r="Y952" s="34" t="str">
        <f>HYPERLINK("https://api-enni.alpina.ru/FilePrivilegesApproval/148","https://api-enni.alpina.ru/FilePrivilegesApproval/148")</f>
        <v>https://api-enni.alpina.ru/FilePrivilegesApproval/148</v>
      </c>
      <c r="Z952" s="13" t="s">
        <v>70</v>
      </c>
      <c r="AT952" s="1">
        <f t="shared" si="148"/>
        <v>0</v>
      </c>
      <c r="AU952" s="1">
        <f t="shared" si="149"/>
        <v>0</v>
      </c>
      <c r="AV952" s="1">
        <f t="shared" si="150"/>
        <v>0</v>
      </c>
      <c r="AW952" s="1">
        <f t="shared" si="151"/>
        <v>0</v>
      </c>
      <c r="AX952" s="1">
        <f t="shared" si="152"/>
        <v>0</v>
      </c>
    </row>
    <row r="953" spans="1:50" s="1" customFormat="1" ht="24.95" customHeight="1" outlineLevel="3" x14ac:dyDescent="0.2">
      <c r="A953" s="26"/>
      <c r="B953" s="27">
        <v>590</v>
      </c>
      <c r="C953" s="27">
        <v>590</v>
      </c>
      <c r="D953" s="27">
        <v>11216</v>
      </c>
      <c r="E953" s="29" t="s">
        <v>3117</v>
      </c>
      <c r="F953" s="29" t="s">
        <v>3118</v>
      </c>
      <c r="G953" s="29" t="s">
        <v>86</v>
      </c>
      <c r="H953" s="29" t="s">
        <v>40</v>
      </c>
      <c r="I953" s="27">
        <v>2019</v>
      </c>
      <c r="J953" s="29" t="s">
        <v>3119</v>
      </c>
      <c r="K953" s="27">
        <v>9785916719437</v>
      </c>
      <c r="L953" s="29" t="s">
        <v>3120</v>
      </c>
      <c r="M953" s="27">
        <v>395</v>
      </c>
      <c r="N953" s="30">
        <v>0.56999999999999995</v>
      </c>
      <c r="O953" s="27">
        <v>146</v>
      </c>
      <c r="P953" s="27">
        <v>216</v>
      </c>
      <c r="Q953" s="27">
        <v>8</v>
      </c>
      <c r="R953" s="29" t="s">
        <v>43</v>
      </c>
      <c r="S953" s="29"/>
      <c r="T953" s="28">
        <v>3000</v>
      </c>
      <c r="U953" s="29" t="s">
        <v>52</v>
      </c>
      <c r="V953" s="29" t="s">
        <v>59</v>
      </c>
      <c r="W953" s="27">
        <v>10</v>
      </c>
      <c r="X953" s="37" t="str">
        <f>HYPERLINK("https://www.alpinabook.ru/catalog/book-554028","ссылка на книгу")</f>
        <v>ссылка на книгу</v>
      </c>
      <c r="Y953" s="38" t="str">
        <f>HYPERLINK("https://api-enni.alpina.ru/FilePrivilegesApproval/277","https://api-enni.alpina.ru/FilePrivilegesApproval/277")</f>
        <v>https://api-enni.alpina.ru/FilePrivilegesApproval/277</v>
      </c>
      <c r="Z953" s="29"/>
      <c r="AT953" s="1">
        <f t="shared" si="148"/>
        <v>0</v>
      </c>
      <c r="AU953" s="1">
        <f t="shared" si="149"/>
        <v>0</v>
      </c>
      <c r="AV953" s="1">
        <f t="shared" si="150"/>
        <v>0</v>
      </c>
      <c r="AW953" s="1">
        <f t="shared" si="151"/>
        <v>0</v>
      </c>
      <c r="AX953" s="1">
        <f t="shared" si="152"/>
        <v>0</v>
      </c>
    </row>
    <row r="954" spans="1:50" s="1" customFormat="1" ht="24.95" customHeight="1" outlineLevel="3" x14ac:dyDescent="0.2">
      <c r="A954" s="11"/>
      <c r="B954" s="12">
        <v>690</v>
      </c>
      <c r="C954" s="12">
        <v>690</v>
      </c>
      <c r="D954" s="12">
        <v>18070</v>
      </c>
      <c r="E954" s="13" t="s">
        <v>3121</v>
      </c>
      <c r="F954" s="13" t="s">
        <v>3122</v>
      </c>
      <c r="G954" s="13" t="s">
        <v>86</v>
      </c>
      <c r="H954" s="13" t="s">
        <v>40</v>
      </c>
      <c r="I954" s="12">
        <v>2021</v>
      </c>
      <c r="J954" s="13" t="s">
        <v>3123</v>
      </c>
      <c r="K954" s="12">
        <v>9785001393436</v>
      </c>
      <c r="L954" s="13" t="s">
        <v>3124</v>
      </c>
      <c r="M954" s="12">
        <v>548</v>
      </c>
      <c r="N954" s="14">
        <v>0.62</v>
      </c>
      <c r="O954" s="12">
        <v>146</v>
      </c>
      <c r="P954" s="12">
        <v>216</v>
      </c>
      <c r="Q954" s="12">
        <v>8</v>
      </c>
      <c r="R954" s="13" t="s">
        <v>43</v>
      </c>
      <c r="S954" s="13"/>
      <c r="T954" s="15">
        <v>5000</v>
      </c>
      <c r="U954" s="13" t="s">
        <v>52</v>
      </c>
      <c r="V954" s="13" t="s">
        <v>59</v>
      </c>
      <c r="W954" s="12">
        <v>10</v>
      </c>
      <c r="X954" s="33" t="str">
        <f>HYPERLINK("https://www.alpinabook.ru/catalog/book-674255","ссылка на книгу")</f>
        <v>ссылка на книгу</v>
      </c>
      <c r="Y954" s="34" t="str">
        <f>HYPERLINK("https://api-enni.alpina.ru/FilePrivilegesApproval/226","https://api-enni.alpina.ru/FilePrivilegesApproval/226")</f>
        <v>https://api-enni.alpina.ru/FilePrivilegesApproval/226</v>
      </c>
      <c r="Z954" s="13"/>
      <c r="AT954" s="1">
        <f t="shared" si="148"/>
        <v>0</v>
      </c>
      <c r="AU954" s="1">
        <f t="shared" si="149"/>
        <v>0</v>
      </c>
      <c r="AV954" s="1">
        <f t="shared" si="150"/>
        <v>0</v>
      </c>
      <c r="AW954" s="1">
        <f t="shared" si="151"/>
        <v>0</v>
      </c>
      <c r="AX954" s="1">
        <f t="shared" si="152"/>
        <v>0</v>
      </c>
    </row>
    <row r="955" spans="1:50" s="1" customFormat="1" ht="24.95" customHeight="1" outlineLevel="3" x14ac:dyDescent="0.2">
      <c r="A955" s="11"/>
      <c r="B955" s="12">
        <v>420</v>
      </c>
      <c r="C955" s="12">
        <v>640</v>
      </c>
      <c r="D955" s="12">
        <v>30263</v>
      </c>
      <c r="E955" s="13" t="s">
        <v>3125</v>
      </c>
      <c r="F955" s="13" t="s">
        <v>3126</v>
      </c>
      <c r="G955" s="13" t="s">
        <v>86</v>
      </c>
      <c r="H955" s="13" t="s">
        <v>40</v>
      </c>
      <c r="I955" s="12">
        <v>2024</v>
      </c>
      <c r="J955" s="13" t="s">
        <v>3127</v>
      </c>
      <c r="K955" s="12">
        <v>9785002232390</v>
      </c>
      <c r="L955" s="13" t="s">
        <v>3128</v>
      </c>
      <c r="M955" s="12">
        <v>528</v>
      </c>
      <c r="N955" s="14">
        <v>0.35</v>
      </c>
      <c r="O955" s="12">
        <v>120</v>
      </c>
      <c r="P955" s="12">
        <v>170</v>
      </c>
      <c r="Q955" s="12">
        <v>12</v>
      </c>
      <c r="R955" s="13" t="s">
        <v>75</v>
      </c>
      <c r="S955" s="13" t="s">
        <v>596</v>
      </c>
      <c r="T955" s="15">
        <v>2000</v>
      </c>
      <c r="U955" s="13" t="s">
        <v>44</v>
      </c>
      <c r="V955" s="13" t="s">
        <v>59</v>
      </c>
      <c r="W955" s="12">
        <v>10</v>
      </c>
      <c r="X955" s="33" t="str">
        <f>HYPERLINK("https://www.alpinabook.ru/catalog/book-kogda-u-zemli-bylo-dve-luny","ссылка на книгу")</f>
        <v>ссылка на книгу</v>
      </c>
      <c r="Y955" s="34" t="str">
        <f>HYPERLINK("https://api-enni.alpina.ru/FilePrivilegesApproval/230","https://api-enni.alpina.ru/FilePrivilegesApproval/230")</f>
        <v>https://api-enni.alpina.ru/FilePrivilegesApproval/230</v>
      </c>
      <c r="Z955" s="13"/>
      <c r="AT955" s="1">
        <f t="shared" si="148"/>
        <v>0</v>
      </c>
      <c r="AU955" s="1">
        <f t="shared" si="149"/>
        <v>0</v>
      </c>
      <c r="AV955" s="1">
        <f t="shared" si="150"/>
        <v>0</v>
      </c>
      <c r="AW955" s="1">
        <f t="shared" si="151"/>
        <v>0</v>
      </c>
      <c r="AX955" s="1">
        <f t="shared" si="152"/>
        <v>0</v>
      </c>
    </row>
    <row r="956" spans="1:50" s="1" customFormat="1" ht="24.95" customHeight="1" outlineLevel="3" x14ac:dyDescent="0.2">
      <c r="A956" s="11"/>
      <c r="B956" s="12">
        <v>360</v>
      </c>
      <c r="C956" s="12">
        <v>590</v>
      </c>
      <c r="D956" s="12">
        <v>28538</v>
      </c>
      <c r="E956" s="13" t="s">
        <v>3129</v>
      </c>
      <c r="F956" s="13" t="s">
        <v>3130</v>
      </c>
      <c r="G956" s="13" t="s">
        <v>86</v>
      </c>
      <c r="H956" s="13"/>
      <c r="I956" s="12">
        <v>2024</v>
      </c>
      <c r="J956" s="13" t="s">
        <v>3131</v>
      </c>
      <c r="K956" s="12">
        <v>9785002230211</v>
      </c>
      <c r="L956" s="13" t="s">
        <v>3132</v>
      </c>
      <c r="M956" s="12">
        <v>448</v>
      </c>
      <c r="N956" s="14">
        <v>0.28999999999999998</v>
      </c>
      <c r="O956" s="12">
        <v>120</v>
      </c>
      <c r="P956" s="12">
        <v>170</v>
      </c>
      <c r="Q956" s="12">
        <v>14</v>
      </c>
      <c r="R956" s="13" t="s">
        <v>75</v>
      </c>
      <c r="S956" s="13" t="s">
        <v>596</v>
      </c>
      <c r="T956" s="15">
        <v>2000</v>
      </c>
      <c r="U956" s="13" t="s">
        <v>44</v>
      </c>
      <c r="V956" s="13" t="s">
        <v>45</v>
      </c>
      <c r="W956" s="12">
        <v>10</v>
      </c>
      <c r="X956" s="33" t="str">
        <f>HYPERLINK("https://www.alpinabook.ru/catalog/book-kosmicheskaya-mifologiya","ссылка на книгу")</f>
        <v>ссылка на книгу</v>
      </c>
      <c r="Y956" s="34" t="str">
        <f>HYPERLINK("https://api-enni.alpina.ru/FilePrivilegesApproval/273","https://api-enni.alpina.ru/FilePrivilegesApproval/273")</f>
        <v>https://api-enni.alpina.ru/FilePrivilegesApproval/273</v>
      </c>
      <c r="Z956" s="13"/>
      <c r="AT956" s="1">
        <f t="shared" si="148"/>
        <v>0</v>
      </c>
      <c r="AU956" s="1">
        <f t="shared" si="149"/>
        <v>0</v>
      </c>
      <c r="AV956" s="1">
        <f t="shared" si="150"/>
        <v>0</v>
      </c>
      <c r="AW956" s="1">
        <f t="shared" si="151"/>
        <v>0</v>
      </c>
      <c r="AX956" s="1">
        <f t="shared" si="152"/>
        <v>0</v>
      </c>
    </row>
    <row r="957" spans="1:50" s="1" customFormat="1" ht="24.95" customHeight="1" outlineLevel="3" x14ac:dyDescent="0.2">
      <c r="A957" s="11"/>
      <c r="B957" s="12">
        <v>940</v>
      </c>
      <c r="C957" s="15">
        <v>1290</v>
      </c>
      <c r="D957" s="12">
        <v>25906</v>
      </c>
      <c r="E957" s="13" t="s">
        <v>3133</v>
      </c>
      <c r="F957" s="13" t="s">
        <v>3134</v>
      </c>
      <c r="G957" s="13" t="s">
        <v>86</v>
      </c>
      <c r="H957" s="13" t="s">
        <v>40</v>
      </c>
      <c r="I957" s="12">
        <v>2025</v>
      </c>
      <c r="J957" s="13" t="s">
        <v>3135</v>
      </c>
      <c r="K957" s="12">
        <v>9785001396642</v>
      </c>
      <c r="L957" s="13" t="s">
        <v>3136</v>
      </c>
      <c r="M957" s="12">
        <v>578</v>
      </c>
      <c r="N957" s="14">
        <v>0.71</v>
      </c>
      <c r="O957" s="12">
        <v>150</v>
      </c>
      <c r="P957" s="12">
        <v>220</v>
      </c>
      <c r="Q957" s="12">
        <v>4</v>
      </c>
      <c r="R957" s="13" t="s">
        <v>43</v>
      </c>
      <c r="S957" s="13"/>
      <c r="T957" s="15">
        <v>1000</v>
      </c>
      <c r="U957" s="13" t="s">
        <v>52</v>
      </c>
      <c r="V957" s="13" t="s">
        <v>59</v>
      </c>
      <c r="W957" s="12">
        <v>10</v>
      </c>
      <c r="X957" s="33" t="str">
        <f>HYPERLINK("https://www.alpinabook.ru/catalog/book-novaya-istoriya-gagarina","ссылка на книгу")</f>
        <v>ссылка на книгу</v>
      </c>
      <c r="Y957" s="34" t="str">
        <f>HYPERLINK("https://api-enni.alpina.ru/FilePrivilegesApproval/366","https://api-enni.alpina.ru/FilePrivilegesApproval/366")</f>
        <v>https://api-enni.alpina.ru/FilePrivilegesApproval/366</v>
      </c>
      <c r="Z957" s="13"/>
      <c r="AT957" s="1">
        <f t="shared" si="148"/>
        <v>0</v>
      </c>
      <c r="AU957" s="1">
        <f t="shared" si="149"/>
        <v>0</v>
      </c>
      <c r="AV957" s="1">
        <f t="shared" si="150"/>
        <v>0</v>
      </c>
      <c r="AW957" s="1">
        <f t="shared" si="151"/>
        <v>0</v>
      </c>
      <c r="AX957" s="1">
        <f t="shared" si="152"/>
        <v>0</v>
      </c>
    </row>
    <row r="958" spans="1:50" s="1" customFormat="1" ht="24.95" customHeight="1" outlineLevel="3" x14ac:dyDescent="0.2">
      <c r="A958" s="26"/>
      <c r="B958" s="27">
        <v>790</v>
      </c>
      <c r="C958" s="28">
        <v>1190</v>
      </c>
      <c r="D958" s="27">
        <v>18369</v>
      </c>
      <c r="E958" s="29" t="s">
        <v>3137</v>
      </c>
      <c r="F958" s="29" t="s">
        <v>3138</v>
      </c>
      <c r="G958" s="29" t="s">
        <v>86</v>
      </c>
      <c r="H958" s="29"/>
      <c r="I958" s="27">
        <v>2025</v>
      </c>
      <c r="J958" s="29" t="s">
        <v>3139</v>
      </c>
      <c r="K958" s="27">
        <v>9785001393351</v>
      </c>
      <c r="L958" s="29" t="s">
        <v>3140</v>
      </c>
      <c r="M958" s="27">
        <v>544</v>
      </c>
      <c r="N958" s="30">
        <v>0.74</v>
      </c>
      <c r="O958" s="27">
        <v>150</v>
      </c>
      <c r="P958" s="27">
        <v>220</v>
      </c>
      <c r="Q958" s="27">
        <v>4</v>
      </c>
      <c r="R958" s="29" t="s">
        <v>43</v>
      </c>
      <c r="S958" s="29"/>
      <c r="T958" s="28">
        <v>1000</v>
      </c>
      <c r="U958" s="29" t="s">
        <v>52</v>
      </c>
      <c r="V958" s="29" t="s">
        <v>64</v>
      </c>
      <c r="W958" s="27">
        <v>10</v>
      </c>
      <c r="X958" s="37" t="str">
        <f>HYPERLINK("https://www.alpinabook.ru/catalog/book-razvedchiki-vneshnikh-planet","ссылка на книгу")</f>
        <v>ссылка на книгу</v>
      </c>
      <c r="Y958" s="38" t="str">
        <f>HYPERLINK("https://api-enni.alpina.ru/FilePrivilegesApproval/175","https://api-enni.alpina.ru/FilePrivilegesApproval/175")</f>
        <v>https://api-enni.alpina.ru/FilePrivilegesApproval/175</v>
      </c>
      <c r="Z958" s="29" t="s">
        <v>847</v>
      </c>
      <c r="AT958" s="1">
        <f t="shared" si="148"/>
        <v>0</v>
      </c>
      <c r="AU958" s="1">
        <f t="shared" si="149"/>
        <v>0</v>
      </c>
      <c r="AV958" s="1">
        <f t="shared" si="150"/>
        <v>0</v>
      </c>
      <c r="AW958" s="1">
        <f t="shared" si="151"/>
        <v>0</v>
      </c>
      <c r="AX958" s="1">
        <f t="shared" si="152"/>
        <v>0</v>
      </c>
    </row>
    <row r="959" spans="1:50" s="1" customFormat="1" ht="24.95" customHeight="1" outlineLevel="3" x14ac:dyDescent="0.2">
      <c r="A959" s="11"/>
      <c r="B959" s="15">
        <v>1590</v>
      </c>
      <c r="C959" s="15">
        <v>1990</v>
      </c>
      <c r="D959" s="12">
        <v>5091</v>
      </c>
      <c r="E959" s="13" t="s">
        <v>3141</v>
      </c>
      <c r="F959" s="13" t="s">
        <v>3142</v>
      </c>
      <c r="G959" s="13" t="s">
        <v>97</v>
      </c>
      <c r="H959" s="13" t="s">
        <v>40</v>
      </c>
      <c r="I959" s="12">
        <v>2023</v>
      </c>
      <c r="J959" s="13" t="s">
        <v>3143</v>
      </c>
      <c r="K959" s="12">
        <v>9785907274181</v>
      </c>
      <c r="L959" s="13" t="s">
        <v>3144</v>
      </c>
      <c r="M959" s="12">
        <v>764</v>
      </c>
      <c r="N959" s="14">
        <v>1.35</v>
      </c>
      <c r="O959" s="12">
        <v>170</v>
      </c>
      <c r="P959" s="12">
        <v>240</v>
      </c>
      <c r="Q959" s="12">
        <v>3</v>
      </c>
      <c r="R959" s="13" t="s">
        <v>94</v>
      </c>
      <c r="S959" s="13"/>
      <c r="T959" s="15">
        <v>1000</v>
      </c>
      <c r="U959" s="13" t="s">
        <v>52</v>
      </c>
      <c r="V959" s="13" t="s">
        <v>64</v>
      </c>
      <c r="W959" s="12">
        <v>10</v>
      </c>
      <c r="X959" s="33" t="str">
        <f>HYPERLINK("https://www.alpinabook.ru/catalog/book-razrabotka-sistem-kosmicheskikh-apparatov","ссылка на книгу")</f>
        <v>ссылка на книгу</v>
      </c>
      <c r="Y959" s="34" t="str">
        <f>HYPERLINK("https://api-enni.alpina.ru/FilePrivilegesApproval/2","https://api-enni.alpina.ru/FilePrivilegesApproval/2")</f>
        <v>https://api-enni.alpina.ru/FilePrivilegesApproval/2</v>
      </c>
      <c r="Z959" s="13"/>
      <c r="AT959" s="1">
        <f t="shared" si="148"/>
        <v>0</v>
      </c>
      <c r="AU959" s="1">
        <f t="shared" si="149"/>
        <v>0</v>
      </c>
      <c r="AV959" s="1">
        <f t="shared" si="150"/>
        <v>0</v>
      </c>
      <c r="AW959" s="1">
        <f t="shared" si="151"/>
        <v>0</v>
      </c>
      <c r="AX959" s="1">
        <f t="shared" si="152"/>
        <v>0</v>
      </c>
    </row>
    <row r="960" spans="1:50" s="1" customFormat="1" ht="24.95" customHeight="1" outlineLevel="3" x14ac:dyDescent="0.2">
      <c r="A960" s="11"/>
      <c r="B960" s="12">
        <v>590</v>
      </c>
      <c r="C960" s="12">
        <v>590</v>
      </c>
      <c r="D960" s="12">
        <v>12351</v>
      </c>
      <c r="E960" s="13" t="s">
        <v>3145</v>
      </c>
      <c r="F960" s="13" t="s">
        <v>3146</v>
      </c>
      <c r="G960" s="13" t="s">
        <v>86</v>
      </c>
      <c r="H960" s="13" t="s">
        <v>40</v>
      </c>
      <c r="I960" s="12">
        <v>2020</v>
      </c>
      <c r="J960" s="13" t="s">
        <v>3147</v>
      </c>
      <c r="K960" s="12">
        <v>9785001391128</v>
      </c>
      <c r="L960" s="13" t="s">
        <v>3148</v>
      </c>
      <c r="M960" s="12">
        <v>404</v>
      </c>
      <c r="N960" s="14">
        <v>0.57999999999999996</v>
      </c>
      <c r="O960" s="12">
        <v>146</v>
      </c>
      <c r="P960" s="12">
        <v>216</v>
      </c>
      <c r="Q960" s="12">
        <v>10</v>
      </c>
      <c r="R960" s="13" t="s">
        <v>43</v>
      </c>
      <c r="S960" s="13"/>
      <c r="T960" s="15">
        <v>2000</v>
      </c>
      <c r="U960" s="13" t="s">
        <v>52</v>
      </c>
      <c r="V960" s="13" t="s">
        <v>59</v>
      </c>
      <c r="W960" s="12">
        <v>10</v>
      </c>
      <c r="X960" s="33" t="str">
        <f>HYPERLINK("https://www.alpinabook.ru/catalog/book-602921","ссылка на книгу")</f>
        <v>ссылка на книгу</v>
      </c>
      <c r="Y960" s="34" t="str">
        <f>HYPERLINK("https://api-enni.alpina.ru/FilePrivilegesApproval/266","https://api-enni.alpina.ru/FilePrivilegesApproval/266")</f>
        <v>https://api-enni.alpina.ru/FilePrivilegesApproval/266</v>
      </c>
      <c r="Z960" s="13"/>
      <c r="AT960" s="1">
        <f t="shared" si="148"/>
        <v>0</v>
      </c>
      <c r="AU960" s="1">
        <f t="shared" si="149"/>
        <v>0</v>
      </c>
      <c r="AV960" s="1">
        <f t="shared" si="150"/>
        <v>0</v>
      </c>
      <c r="AW960" s="1">
        <f t="shared" si="151"/>
        <v>0</v>
      </c>
      <c r="AX960" s="1">
        <f t="shared" si="152"/>
        <v>0</v>
      </c>
    </row>
    <row r="961" spans="1:50" s="1" customFormat="1" ht="24.95" customHeight="1" outlineLevel="3" x14ac:dyDescent="0.2">
      <c r="A961" s="11"/>
      <c r="B961" s="12">
        <v>790</v>
      </c>
      <c r="C961" s="15">
        <v>1190</v>
      </c>
      <c r="D961" s="12">
        <v>25753</v>
      </c>
      <c r="E961" s="13" t="s">
        <v>3149</v>
      </c>
      <c r="F961" s="13" t="s">
        <v>3150</v>
      </c>
      <c r="G961" s="13" t="s">
        <v>86</v>
      </c>
      <c r="H961" s="13" t="s">
        <v>40</v>
      </c>
      <c r="I961" s="12">
        <v>2024</v>
      </c>
      <c r="J961" s="13" t="s">
        <v>3151</v>
      </c>
      <c r="K961" s="12">
        <v>9785001396987</v>
      </c>
      <c r="L961" s="13" t="s">
        <v>3152</v>
      </c>
      <c r="M961" s="12">
        <v>408</v>
      </c>
      <c r="N961" s="14">
        <v>0.61</v>
      </c>
      <c r="O961" s="12">
        <v>150</v>
      </c>
      <c r="P961" s="12">
        <v>220</v>
      </c>
      <c r="Q961" s="12">
        <v>8</v>
      </c>
      <c r="R961" s="13" t="s">
        <v>43</v>
      </c>
      <c r="S961" s="13"/>
      <c r="T961" s="15">
        <v>2500</v>
      </c>
      <c r="U961" s="13" t="s">
        <v>52</v>
      </c>
      <c r="V961" s="13" t="s">
        <v>59</v>
      </c>
      <c r="W961" s="12">
        <v>10</v>
      </c>
      <c r="X961" s="33" t="str">
        <f>HYPERLINK("https://www.alpinabook.ru/catalog/book-steklyannyy-nebosvod","ссылка на книгу")</f>
        <v>ссылка на книгу</v>
      </c>
      <c r="Y961" s="34" t="str">
        <f>HYPERLINK("https://api-enni.alpina.ru/FilePrivilegesApproval/323","https://api-enni.alpina.ru/FilePrivilegesApproval/323")</f>
        <v>https://api-enni.alpina.ru/FilePrivilegesApproval/323</v>
      </c>
      <c r="Z961" s="13"/>
      <c r="AT961" s="1">
        <f t="shared" si="148"/>
        <v>0</v>
      </c>
      <c r="AU961" s="1">
        <f t="shared" si="149"/>
        <v>0</v>
      </c>
      <c r="AV961" s="1">
        <f t="shared" si="150"/>
        <v>0</v>
      </c>
      <c r="AW961" s="1">
        <f t="shared" si="151"/>
        <v>0</v>
      </c>
      <c r="AX961" s="1">
        <f t="shared" si="152"/>
        <v>0</v>
      </c>
    </row>
    <row r="962" spans="1:50" s="1" customFormat="1" ht="21.95" customHeight="1" outlineLevel="3" x14ac:dyDescent="0.2">
      <c r="A962" s="11"/>
      <c r="B962" s="12">
        <v>340</v>
      </c>
      <c r="C962" s="12">
        <v>540</v>
      </c>
      <c r="D962" s="12">
        <v>29493</v>
      </c>
      <c r="E962" s="13" t="s">
        <v>2320</v>
      </c>
      <c r="F962" s="13" t="s">
        <v>3153</v>
      </c>
      <c r="G962" s="13" t="s">
        <v>86</v>
      </c>
      <c r="H962" s="13"/>
      <c r="I962" s="12">
        <v>2024</v>
      </c>
      <c r="J962" s="13" t="s">
        <v>3154</v>
      </c>
      <c r="K962" s="12">
        <v>9785002231447</v>
      </c>
      <c r="L962" s="13" t="s">
        <v>3155</v>
      </c>
      <c r="M962" s="12">
        <v>272</v>
      </c>
      <c r="N962" s="14">
        <v>0.19</v>
      </c>
      <c r="O962" s="12">
        <v>120</v>
      </c>
      <c r="P962" s="12">
        <v>170</v>
      </c>
      <c r="Q962" s="12">
        <v>20</v>
      </c>
      <c r="R962" s="13" t="s">
        <v>75</v>
      </c>
      <c r="S962" s="13" t="s">
        <v>596</v>
      </c>
      <c r="T962" s="15">
        <v>2000</v>
      </c>
      <c r="U962" s="13" t="s">
        <v>44</v>
      </c>
      <c r="V962" s="13" t="s">
        <v>45</v>
      </c>
      <c r="W962" s="12">
        <v>10</v>
      </c>
      <c r="X962" s="33" t="str">
        <f>HYPERLINK("https://www.alpinabook.ru/catalog/book-superobekty","ссылка на книгу")</f>
        <v>ссылка на книгу</v>
      </c>
      <c r="Y962" s="34" t="str">
        <f>HYPERLINK("","")</f>
        <v/>
      </c>
      <c r="Z962" s="13"/>
      <c r="AT962" s="1">
        <f t="shared" si="148"/>
        <v>0</v>
      </c>
      <c r="AU962" s="1">
        <f t="shared" si="149"/>
        <v>0</v>
      </c>
      <c r="AV962" s="1">
        <f t="shared" si="150"/>
        <v>0</v>
      </c>
      <c r="AW962" s="1">
        <f t="shared" si="151"/>
        <v>0</v>
      </c>
      <c r="AX962" s="1">
        <f t="shared" si="152"/>
        <v>0</v>
      </c>
    </row>
    <row r="963" spans="1:50" s="1" customFormat="1" ht="24.95" customHeight="1" outlineLevel="3" x14ac:dyDescent="0.2">
      <c r="A963" s="26"/>
      <c r="B963" s="27">
        <v>590</v>
      </c>
      <c r="C963" s="27">
        <v>840</v>
      </c>
      <c r="D963" s="27">
        <v>8249</v>
      </c>
      <c r="E963" s="29" t="s">
        <v>3156</v>
      </c>
      <c r="F963" s="29" t="s">
        <v>3157</v>
      </c>
      <c r="G963" s="29" t="s">
        <v>86</v>
      </c>
      <c r="H963" s="29" t="s">
        <v>40</v>
      </c>
      <c r="I963" s="27">
        <v>2019</v>
      </c>
      <c r="J963" s="29" t="s">
        <v>3158</v>
      </c>
      <c r="K963" s="27">
        <v>9785916719499</v>
      </c>
      <c r="L963" s="29" t="s">
        <v>3159</v>
      </c>
      <c r="M963" s="27">
        <v>485</v>
      </c>
      <c r="N963" s="30">
        <v>0.68</v>
      </c>
      <c r="O963" s="27">
        <v>146</v>
      </c>
      <c r="P963" s="27">
        <v>216</v>
      </c>
      <c r="Q963" s="27">
        <v>8</v>
      </c>
      <c r="R963" s="29" t="s">
        <v>43</v>
      </c>
      <c r="S963" s="29"/>
      <c r="T963" s="28">
        <v>3000</v>
      </c>
      <c r="U963" s="29" t="s">
        <v>52</v>
      </c>
      <c r="V963" s="29" t="s">
        <v>59</v>
      </c>
      <c r="W963" s="27">
        <v>10</v>
      </c>
      <c r="X963" s="37" t="str">
        <f>HYPERLINK("https://www.alpinabook.ru/catalog/book-504559","ссылка на книгу")</f>
        <v>ссылка на книгу</v>
      </c>
      <c r="Y963" s="38" t="str">
        <f>HYPERLINK("https://api-enni.alpina.ru/FilePrivilegesApproval/5","https://api-enni.alpina.ru/FilePrivilegesApproval/5")</f>
        <v>https://api-enni.alpina.ru/FilePrivilegesApproval/5</v>
      </c>
      <c r="Z963" s="29"/>
      <c r="AT963" s="1">
        <f t="shared" si="148"/>
        <v>0</v>
      </c>
      <c r="AU963" s="1">
        <f t="shared" si="149"/>
        <v>0</v>
      </c>
      <c r="AV963" s="1">
        <f t="shared" si="150"/>
        <v>0</v>
      </c>
      <c r="AW963" s="1">
        <f t="shared" si="151"/>
        <v>0</v>
      </c>
      <c r="AX963" s="1">
        <f t="shared" si="152"/>
        <v>0</v>
      </c>
    </row>
    <row r="964" spans="1:50" ht="11.1" customHeight="1" outlineLevel="2" x14ac:dyDescent="0.2">
      <c r="A964" s="40" t="s">
        <v>3160</v>
      </c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20"/>
    </row>
    <row r="965" spans="1:50" s="1" customFormat="1" ht="24.95" customHeight="1" outlineLevel="3" x14ac:dyDescent="0.2">
      <c r="A965" s="11"/>
      <c r="B965" s="12">
        <v>340</v>
      </c>
      <c r="C965" s="12">
        <v>540</v>
      </c>
      <c r="D965" s="12">
        <v>30970</v>
      </c>
      <c r="E965" s="13" t="s">
        <v>3161</v>
      </c>
      <c r="F965" s="13" t="s">
        <v>3162</v>
      </c>
      <c r="G965" s="13" t="s">
        <v>86</v>
      </c>
      <c r="H965" s="13" t="s">
        <v>40</v>
      </c>
      <c r="I965" s="12">
        <v>2024</v>
      </c>
      <c r="J965" s="13" t="s">
        <v>3163</v>
      </c>
      <c r="K965" s="12">
        <v>9785002233144</v>
      </c>
      <c r="L965" s="13" t="s">
        <v>3164</v>
      </c>
      <c r="M965" s="12">
        <v>336</v>
      </c>
      <c r="N965" s="14">
        <v>0.22</v>
      </c>
      <c r="O965" s="12">
        <v>120</v>
      </c>
      <c r="P965" s="12">
        <v>170</v>
      </c>
      <c r="Q965" s="12">
        <v>14</v>
      </c>
      <c r="R965" s="13" t="s">
        <v>75</v>
      </c>
      <c r="S965" s="13" t="s">
        <v>596</v>
      </c>
      <c r="T965" s="15">
        <v>2000</v>
      </c>
      <c r="U965" s="13" t="s">
        <v>44</v>
      </c>
      <c r="V965" s="13" t="s">
        <v>59</v>
      </c>
      <c r="W965" s="12">
        <v>10</v>
      </c>
      <c r="X965" s="33" t="str">
        <f>HYPERLINK("https://www.alpinabook.ru/catalog/book-52-upryamye-zhenshchiny","ссылка на книгу")</f>
        <v>ссылка на книгу</v>
      </c>
      <c r="Y965" s="34" t="str">
        <f>HYPERLINK("https://api-enni.alpina.ru/FilePrivilegesApproval/185","https://api-enni.alpina.ru/FilePrivilegesApproval/185")</f>
        <v>https://api-enni.alpina.ru/FilePrivilegesApproval/185</v>
      </c>
      <c r="Z965" s="13"/>
      <c r="AT965" s="1">
        <f t="shared" ref="AT965:AT996" si="153">IF($A965&lt;&gt;0,1,0)</f>
        <v>0</v>
      </c>
      <c r="AU965" s="1">
        <f t="shared" ref="AU965:AU996" si="154">$A965*$B965</f>
        <v>0</v>
      </c>
      <c r="AV965" s="1">
        <f t="shared" ref="AV965:AV996" si="155">$A965*$N965</f>
        <v>0</v>
      </c>
      <c r="AW965" s="1">
        <f t="shared" ref="AW965:AW996" si="156">IF($Q965=0,0,INT($A965/$Q965))</f>
        <v>0</v>
      </c>
      <c r="AX965" s="1">
        <f t="shared" ref="AX965:AX996" si="157">$A965-$AW965*$Q965</f>
        <v>0</v>
      </c>
    </row>
    <row r="966" spans="1:50" s="1" customFormat="1" ht="24.95" customHeight="1" outlineLevel="3" x14ac:dyDescent="0.2">
      <c r="A966" s="11"/>
      <c r="B966" s="12">
        <v>690</v>
      </c>
      <c r="C966" s="12">
        <v>990</v>
      </c>
      <c r="D966" s="12">
        <v>19421</v>
      </c>
      <c r="E966" s="13" t="s">
        <v>3165</v>
      </c>
      <c r="F966" s="13" t="s">
        <v>3166</v>
      </c>
      <c r="G966" s="13" t="s">
        <v>86</v>
      </c>
      <c r="H966" s="13" t="s">
        <v>40</v>
      </c>
      <c r="I966" s="12">
        <v>2023</v>
      </c>
      <c r="J966" s="13" t="s">
        <v>3167</v>
      </c>
      <c r="K966" s="12">
        <v>9785002230839</v>
      </c>
      <c r="L966" s="13" t="s">
        <v>3168</v>
      </c>
      <c r="M966" s="12">
        <v>336</v>
      </c>
      <c r="N966" s="14">
        <v>0.41</v>
      </c>
      <c r="O966" s="12">
        <v>150</v>
      </c>
      <c r="P966" s="12">
        <v>220</v>
      </c>
      <c r="Q966" s="12">
        <v>10</v>
      </c>
      <c r="R966" s="13" t="s">
        <v>43</v>
      </c>
      <c r="S966" s="13"/>
      <c r="T966" s="15">
        <v>3000</v>
      </c>
      <c r="U966" s="13" t="s">
        <v>52</v>
      </c>
      <c r="V966" s="13" t="s">
        <v>59</v>
      </c>
      <c r="W966" s="12">
        <v>10</v>
      </c>
      <c r="X966" s="33" t="str">
        <f>HYPERLINK("https://www.alpinabook.ru/catalog/book-alarikh","ссылка на книгу")</f>
        <v>ссылка на книгу</v>
      </c>
      <c r="Y966" s="34" t="str">
        <f>HYPERLINK("https://api-enni.alpina.ru/FilePrivilegesApproval/241","https://api-enni.alpina.ru/FilePrivilegesApproval/241")</f>
        <v>https://api-enni.alpina.ru/FilePrivilegesApproval/241</v>
      </c>
      <c r="Z966" s="13"/>
      <c r="AT966" s="1">
        <f t="shared" si="153"/>
        <v>0</v>
      </c>
      <c r="AU966" s="1">
        <f t="shared" si="154"/>
        <v>0</v>
      </c>
      <c r="AV966" s="1">
        <f t="shared" si="155"/>
        <v>0</v>
      </c>
      <c r="AW966" s="1">
        <f t="shared" si="156"/>
        <v>0</v>
      </c>
      <c r="AX966" s="1">
        <f t="shared" si="157"/>
        <v>0</v>
      </c>
    </row>
    <row r="967" spans="1:50" s="1" customFormat="1" ht="24.95" customHeight="1" outlineLevel="3" x14ac:dyDescent="0.2">
      <c r="A967" s="26"/>
      <c r="B967" s="27">
        <v>590</v>
      </c>
      <c r="C967" s="27">
        <v>890</v>
      </c>
      <c r="D967" s="27">
        <v>23162</v>
      </c>
      <c r="E967" s="29" t="s">
        <v>3169</v>
      </c>
      <c r="F967" s="29" t="s">
        <v>3170</v>
      </c>
      <c r="G967" s="29" t="s">
        <v>86</v>
      </c>
      <c r="H967" s="29" t="s">
        <v>40</v>
      </c>
      <c r="I967" s="27">
        <v>2021</v>
      </c>
      <c r="J967" s="29" t="s">
        <v>3171</v>
      </c>
      <c r="K967" s="27">
        <v>9785001394877</v>
      </c>
      <c r="L967" s="29" t="s">
        <v>3172</v>
      </c>
      <c r="M967" s="27">
        <v>274</v>
      </c>
      <c r="N967" s="30">
        <v>0.45</v>
      </c>
      <c r="O967" s="27">
        <v>153</v>
      </c>
      <c r="P967" s="27">
        <v>216</v>
      </c>
      <c r="Q967" s="27">
        <v>12</v>
      </c>
      <c r="R967" s="29" t="s">
        <v>43</v>
      </c>
      <c r="S967" s="29"/>
      <c r="T967" s="28">
        <v>1000</v>
      </c>
      <c r="U967" s="29" t="s">
        <v>52</v>
      </c>
      <c r="V967" s="29" t="s">
        <v>64</v>
      </c>
      <c r="W967" s="27">
        <v>10</v>
      </c>
      <c r="X967" s="37" t="str">
        <f>HYPERLINK("https://www.alpinabook.ru/catalog/book-368052","ссылка на книгу")</f>
        <v>ссылка на книгу</v>
      </c>
      <c r="Y967" s="38" t="str">
        <f>HYPERLINK("https://api-enni.alpina.ru/FilePrivilegesApproval/247","https://api-enni.alpina.ru/FilePrivilegesApproval/247")</f>
        <v>https://api-enni.alpina.ru/FilePrivilegesApproval/247</v>
      </c>
      <c r="Z967" s="29"/>
      <c r="AT967" s="1">
        <f t="shared" si="153"/>
        <v>0</v>
      </c>
      <c r="AU967" s="1">
        <f t="shared" si="154"/>
        <v>0</v>
      </c>
      <c r="AV967" s="1">
        <f t="shared" si="155"/>
        <v>0</v>
      </c>
      <c r="AW967" s="1">
        <f t="shared" si="156"/>
        <v>0</v>
      </c>
      <c r="AX967" s="1">
        <f t="shared" si="157"/>
        <v>0</v>
      </c>
    </row>
    <row r="968" spans="1:50" s="1" customFormat="1" ht="24.95" customHeight="1" outlineLevel="3" x14ac:dyDescent="0.2">
      <c r="A968" s="11"/>
      <c r="B968" s="15">
        <v>1190</v>
      </c>
      <c r="C968" s="15">
        <v>1590</v>
      </c>
      <c r="D968" s="12">
        <v>8226</v>
      </c>
      <c r="E968" s="13" t="s">
        <v>3173</v>
      </c>
      <c r="F968" s="13" t="s">
        <v>3174</v>
      </c>
      <c r="G968" s="13" t="s">
        <v>86</v>
      </c>
      <c r="H968" s="13" t="s">
        <v>40</v>
      </c>
      <c r="I968" s="12">
        <v>2025</v>
      </c>
      <c r="J968" s="13" t="s">
        <v>3175</v>
      </c>
      <c r="K968" s="12">
        <v>9785916719901</v>
      </c>
      <c r="L968" s="13" t="s">
        <v>3176</v>
      </c>
      <c r="M968" s="12">
        <v>777</v>
      </c>
      <c r="N968" s="14">
        <v>1.24</v>
      </c>
      <c r="O968" s="12">
        <v>168</v>
      </c>
      <c r="P968" s="12">
        <v>241</v>
      </c>
      <c r="Q968" s="12">
        <v>3</v>
      </c>
      <c r="R968" s="13" t="s">
        <v>94</v>
      </c>
      <c r="S968" s="13"/>
      <c r="T968" s="15">
        <v>2000</v>
      </c>
      <c r="U968" s="13" t="s">
        <v>52</v>
      </c>
      <c r="V968" s="13" t="s">
        <v>45</v>
      </c>
      <c r="W968" s="12">
        <v>10</v>
      </c>
      <c r="X968" s="33" t="str">
        <f>HYPERLINK("https://www.alpinabook.ru/catalog/book-araby","ссылка на книгу")</f>
        <v>ссылка на книгу</v>
      </c>
      <c r="Y968" s="34" t="str">
        <f>HYPERLINK("https://api-enni.alpina.ru/FilePrivilegesApproval/146","https://api-enni.alpina.ru/FilePrivilegesApproval/146")</f>
        <v>https://api-enni.alpina.ru/FilePrivilegesApproval/146</v>
      </c>
      <c r="Z968" s="13" t="s">
        <v>775</v>
      </c>
      <c r="AT968" s="1">
        <f t="shared" si="153"/>
        <v>0</v>
      </c>
      <c r="AU968" s="1">
        <f t="shared" si="154"/>
        <v>0</v>
      </c>
      <c r="AV968" s="1">
        <f t="shared" si="155"/>
        <v>0</v>
      </c>
      <c r="AW968" s="1">
        <f t="shared" si="156"/>
        <v>0</v>
      </c>
      <c r="AX968" s="1">
        <f t="shared" si="157"/>
        <v>0</v>
      </c>
    </row>
    <row r="969" spans="1:50" s="1" customFormat="1" ht="24.95" customHeight="1" outlineLevel="3" x14ac:dyDescent="0.2">
      <c r="A969" s="11"/>
      <c r="B969" s="12">
        <v>690</v>
      </c>
      <c r="C969" s="12">
        <v>990</v>
      </c>
      <c r="D969" s="12">
        <v>25412</v>
      </c>
      <c r="E969" s="13" t="s">
        <v>3177</v>
      </c>
      <c r="F969" s="13" t="s">
        <v>3178</v>
      </c>
      <c r="G969" s="13" t="s">
        <v>56</v>
      </c>
      <c r="H969" s="13"/>
      <c r="I969" s="12">
        <v>2023</v>
      </c>
      <c r="J969" s="13" t="s">
        <v>3179</v>
      </c>
      <c r="K969" s="12">
        <v>9785961480351</v>
      </c>
      <c r="L969" s="13" t="s">
        <v>3180</v>
      </c>
      <c r="M969" s="12">
        <v>600</v>
      </c>
      <c r="N969" s="14">
        <v>0.7</v>
      </c>
      <c r="O969" s="12">
        <v>141</v>
      </c>
      <c r="P969" s="12">
        <v>210</v>
      </c>
      <c r="Q969" s="12">
        <v>8</v>
      </c>
      <c r="R969" s="13" t="s">
        <v>43</v>
      </c>
      <c r="S969" s="13"/>
      <c r="T969" s="15">
        <v>2500</v>
      </c>
      <c r="U969" s="13" t="s">
        <v>44</v>
      </c>
      <c r="V969" s="13" t="s">
        <v>45</v>
      </c>
      <c r="W969" s="12">
        <v>10</v>
      </c>
      <c r="X969" s="33" t="str">
        <f>HYPERLINK("https://www.alpinabook.ru/catalog/book-bibleyskie-motivy","ссылка на книгу")</f>
        <v>ссылка на книгу</v>
      </c>
      <c r="Y969" s="34" t="str">
        <f>HYPERLINK("https://api-enni.alpina.ru/FilePrivilegesApproval/163","https://api-enni.alpina.ru/FilePrivilegesApproval/163")</f>
        <v>https://api-enni.alpina.ru/FilePrivilegesApproval/163</v>
      </c>
      <c r="Z969" s="13"/>
      <c r="AT969" s="1">
        <f t="shared" si="153"/>
        <v>0</v>
      </c>
      <c r="AU969" s="1">
        <f t="shared" si="154"/>
        <v>0</v>
      </c>
      <c r="AV969" s="1">
        <f t="shared" si="155"/>
        <v>0</v>
      </c>
      <c r="AW969" s="1">
        <f t="shared" si="156"/>
        <v>0</v>
      </c>
      <c r="AX969" s="1">
        <f t="shared" si="157"/>
        <v>0</v>
      </c>
    </row>
    <row r="970" spans="1:50" s="1" customFormat="1" ht="24.95" customHeight="1" outlineLevel="3" x14ac:dyDescent="0.2">
      <c r="A970" s="11"/>
      <c r="B970" s="12">
        <v>360</v>
      </c>
      <c r="C970" s="12">
        <v>590</v>
      </c>
      <c r="D970" s="12">
        <v>32246</v>
      </c>
      <c r="E970" s="13" t="s">
        <v>3181</v>
      </c>
      <c r="F970" s="13" t="s">
        <v>3182</v>
      </c>
      <c r="G970" s="13" t="s">
        <v>86</v>
      </c>
      <c r="H970" s="13"/>
      <c r="I970" s="12">
        <v>2025</v>
      </c>
      <c r="J970" s="13" t="s">
        <v>3183</v>
      </c>
      <c r="K970" s="12">
        <v>9785002234837</v>
      </c>
      <c r="L970" s="13" t="s">
        <v>3184</v>
      </c>
      <c r="M970" s="12">
        <v>336</v>
      </c>
      <c r="N970" s="14">
        <v>0.22</v>
      </c>
      <c r="O970" s="12">
        <v>120</v>
      </c>
      <c r="P970" s="12">
        <v>170</v>
      </c>
      <c r="Q970" s="12">
        <v>32</v>
      </c>
      <c r="R970" s="13" t="s">
        <v>75</v>
      </c>
      <c r="S970" s="13" t="s">
        <v>596</v>
      </c>
      <c r="T970" s="15">
        <v>2000</v>
      </c>
      <c r="U970" s="13" t="s">
        <v>44</v>
      </c>
      <c r="V970" s="13" t="s">
        <v>64</v>
      </c>
      <c r="W970" s="12">
        <v>10</v>
      </c>
      <c r="X970" s="33" t="str">
        <f>HYPERLINK("https://www.alpinabook.ru/catalog/book-bibliya-na-samom-dele","ссылка на книгу")</f>
        <v>ссылка на книгу</v>
      </c>
      <c r="Y970" s="34" t="str">
        <f>HYPERLINK("https://api-enni.alpina.ru/FilePrivilegesApproval/148","https://api-enni.alpina.ru/FilePrivilegesApproval/148")</f>
        <v>https://api-enni.alpina.ru/FilePrivilegesApproval/148</v>
      </c>
      <c r="Z970" s="13" t="s">
        <v>1406</v>
      </c>
      <c r="AT970" s="1">
        <f t="shared" si="153"/>
        <v>0</v>
      </c>
      <c r="AU970" s="1">
        <f t="shared" si="154"/>
        <v>0</v>
      </c>
      <c r="AV970" s="1">
        <f t="shared" si="155"/>
        <v>0</v>
      </c>
      <c r="AW970" s="1">
        <f t="shared" si="156"/>
        <v>0</v>
      </c>
      <c r="AX970" s="1">
        <f t="shared" si="157"/>
        <v>0</v>
      </c>
    </row>
    <row r="971" spans="1:50" s="1" customFormat="1" ht="24.95" customHeight="1" outlineLevel="3" x14ac:dyDescent="0.2">
      <c r="A971" s="11"/>
      <c r="B971" s="12">
        <v>590</v>
      </c>
      <c r="C971" s="12">
        <v>840</v>
      </c>
      <c r="D971" s="12">
        <v>19265</v>
      </c>
      <c r="E971" s="13" t="s">
        <v>3185</v>
      </c>
      <c r="F971" s="13" t="s">
        <v>3186</v>
      </c>
      <c r="G971" s="13" t="s">
        <v>56</v>
      </c>
      <c r="H971" s="13"/>
      <c r="I971" s="12">
        <v>2025</v>
      </c>
      <c r="J971" s="13" t="s">
        <v>3187</v>
      </c>
      <c r="K971" s="12">
        <v>9785961472455</v>
      </c>
      <c r="L971" s="13" t="s">
        <v>3188</v>
      </c>
      <c r="M971" s="12">
        <v>232</v>
      </c>
      <c r="N971" s="14">
        <v>0.37</v>
      </c>
      <c r="O971" s="12">
        <v>150</v>
      </c>
      <c r="P971" s="12">
        <v>220</v>
      </c>
      <c r="Q971" s="12">
        <v>5</v>
      </c>
      <c r="R971" s="13" t="s">
        <v>43</v>
      </c>
      <c r="S971" s="13"/>
      <c r="T971" s="15">
        <v>1000</v>
      </c>
      <c r="U971" s="13" t="s">
        <v>52</v>
      </c>
      <c r="V971" s="13" t="s">
        <v>45</v>
      </c>
      <c r="W971" s="12">
        <v>10</v>
      </c>
      <c r="X971" s="33" t="str">
        <f>HYPERLINK("https://www.alpinabook.ru/catalog/book-bitva-za-proshloe","ссылка на книгу")</f>
        <v>ссылка на книгу</v>
      </c>
      <c r="Y971" s="34" t="str">
        <f>HYPERLINK("https://api-enni.alpina.ru/FilePrivilegesApproval/156","https://api-enni.alpina.ru/FilePrivilegesApproval/156")</f>
        <v>https://api-enni.alpina.ru/FilePrivilegesApproval/156</v>
      </c>
      <c r="Z971" s="13" t="s">
        <v>847</v>
      </c>
      <c r="AT971" s="1">
        <f t="shared" si="153"/>
        <v>0</v>
      </c>
      <c r="AU971" s="1">
        <f t="shared" si="154"/>
        <v>0</v>
      </c>
      <c r="AV971" s="1">
        <f t="shared" si="155"/>
        <v>0</v>
      </c>
      <c r="AW971" s="1">
        <f t="shared" si="156"/>
        <v>0</v>
      </c>
      <c r="AX971" s="1">
        <f t="shared" si="157"/>
        <v>0</v>
      </c>
    </row>
    <row r="972" spans="1:50" s="1" customFormat="1" ht="24.95" customHeight="1" outlineLevel="3" x14ac:dyDescent="0.2">
      <c r="A972" s="11"/>
      <c r="B972" s="15">
        <v>1490</v>
      </c>
      <c r="C972" s="15">
        <v>1890</v>
      </c>
      <c r="D972" s="12">
        <v>28836</v>
      </c>
      <c r="E972" s="13" t="s">
        <v>3189</v>
      </c>
      <c r="F972" s="13" t="s">
        <v>3190</v>
      </c>
      <c r="G972" s="13" t="s">
        <v>86</v>
      </c>
      <c r="H972" s="13" t="s">
        <v>40</v>
      </c>
      <c r="I972" s="12">
        <v>2025</v>
      </c>
      <c r="J972" s="13" t="s">
        <v>3191</v>
      </c>
      <c r="K972" s="12">
        <v>9785002230655</v>
      </c>
      <c r="L972" s="13" t="s">
        <v>3192</v>
      </c>
      <c r="M972" s="12">
        <v>560</v>
      </c>
      <c r="N972" s="14">
        <v>1.19</v>
      </c>
      <c r="O972" s="12">
        <v>170</v>
      </c>
      <c r="P972" s="12">
        <v>240</v>
      </c>
      <c r="Q972" s="12">
        <v>3</v>
      </c>
      <c r="R972" s="13" t="s">
        <v>94</v>
      </c>
      <c r="S972" s="13"/>
      <c r="T972" s="15">
        <v>5000</v>
      </c>
      <c r="U972" s="13" t="s">
        <v>52</v>
      </c>
      <c r="V972" s="13" t="s">
        <v>89</v>
      </c>
      <c r="W972" s="12">
        <v>10</v>
      </c>
      <c r="X972" s="33" t="str">
        <f>HYPERLINK("https://www.alpinabook.ru/catalog/book-bogi-i-smertnye","ссылка на книгу")</f>
        <v>ссылка на книгу</v>
      </c>
      <c r="Y972" s="34" t="str">
        <f>HYPERLINK("https://api-enni.alpina.ru/FilePrivilegesApproval/806","https://api-enni.alpina.ru/FilePrivilegesApproval/806")</f>
        <v>https://api-enni.alpina.ru/FilePrivilegesApproval/806</v>
      </c>
      <c r="Z972" s="13"/>
      <c r="AT972" s="1">
        <f t="shared" si="153"/>
        <v>0</v>
      </c>
      <c r="AU972" s="1">
        <f t="shared" si="154"/>
        <v>0</v>
      </c>
      <c r="AV972" s="1">
        <f t="shared" si="155"/>
        <v>0</v>
      </c>
      <c r="AW972" s="1">
        <f t="shared" si="156"/>
        <v>0</v>
      </c>
      <c r="AX972" s="1">
        <f t="shared" si="157"/>
        <v>0</v>
      </c>
    </row>
    <row r="973" spans="1:50" s="1" customFormat="1" ht="24.95" customHeight="1" outlineLevel="3" x14ac:dyDescent="0.2">
      <c r="A973" s="11"/>
      <c r="B973" s="12">
        <v>590</v>
      </c>
      <c r="C973" s="12">
        <v>590</v>
      </c>
      <c r="D973" s="12">
        <v>23075</v>
      </c>
      <c r="E973" s="13" t="s">
        <v>1818</v>
      </c>
      <c r="F973" s="13" t="s">
        <v>3193</v>
      </c>
      <c r="G973" s="13" t="s">
        <v>56</v>
      </c>
      <c r="H973" s="13" t="s">
        <v>40</v>
      </c>
      <c r="I973" s="12">
        <v>2022</v>
      </c>
      <c r="J973" s="13" t="s">
        <v>3194</v>
      </c>
      <c r="K973" s="12">
        <v>9785961474923</v>
      </c>
      <c r="L973" s="13" t="s">
        <v>3195</v>
      </c>
      <c r="M973" s="12">
        <v>226</v>
      </c>
      <c r="N973" s="14">
        <v>0.38</v>
      </c>
      <c r="O973" s="12">
        <v>145</v>
      </c>
      <c r="P973" s="12">
        <v>216</v>
      </c>
      <c r="Q973" s="12">
        <v>16</v>
      </c>
      <c r="R973" s="13" t="s">
        <v>43</v>
      </c>
      <c r="S973" s="13"/>
      <c r="T973" s="15">
        <v>3000</v>
      </c>
      <c r="U973" s="13" t="s">
        <v>52</v>
      </c>
      <c r="V973" s="13" t="s">
        <v>64</v>
      </c>
      <c r="W973" s="12">
        <v>10</v>
      </c>
      <c r="X973" s="33" t="str">
        <f>HYPERLINK("https://www.alpinabook.ru/catalog/book-bombardirovochnaya-mafiya","ссылка на книгу")</f>
        <v>ссылка на книгу</v>
      </c>
      <c r="Y973" s="34" t="str">
        <f>HYPERLINK("https://api-enni.alpina.ru/FilePrivilegesApproval/121","https://api-enni.alpina.ru/FilePrivilegesApproval/121")</f>
        <v>https://api-enni.alpina.ru/FilePrivilegesApproval/121</v>
      </c>
      <c r="Z973" s="13"/>
      <c r="AT973" s="1">
        <f t="shared" si="153"/>
        <v>0</v>
      </c>
      <c r="AU973" s="1">
        <f t="shared" si="154"/>
        <v>0</v>
      </c>
      <c r="AV973" s="1">
        <f t="shared" si="155"/>
        <v>0</v>
      </c>
      <c r="AW973" s="1">
        <f t="shared" si="156"/>
        <v>0</v>
      </c>
      <c r="AX973" s="1">
        <f t="shared" si="157"/>
        <v>0</v>
      </c>
    </row>
    <row r="974" spans="1:50" s="1" customFormat="1" ht="24.95" customHeight="1" outlineLevel="3" x14ac:dyDescent="0.2">
      <c r="A974" s="11"/>
      <c r="B974" s="12">
        <v>790</v>
      </c>
      <c r="C974" s="15">
        <v>1190</v>
      </c>
      <c r="D974" s="12">
        <v>26139</v>
      </c>
      <c r="E974" s="13" t="s">
        <v>3196</v>
      </c>
      <c r="F974" s="13" t="s">
        <v>3197</v>
      </c>
      <c r="G974" s="13" t="s">
        <v>56</v>
      </c>
      <c r="H974" s="13" t="s">
        <v>40</v>
      </c>
      <c r="I974" s="12">
        <v>2023</v>
      </c>
      <c r="J974" s="13" t="s">
        <v>3198</v>
      </c>
      <c r="K974" s="12">
        <v>9785961480740</v>
      </c>
      <c r="L974" s="13" t="s">
        <v>3199</v>
      </c>
      <c r="M974" s="12">
        <v>624</v>
      </c>
      <c r="N974" s="14">
        <v>0.8</v>
      </c>
      <c r="O974" s="12">
        <v>150</v>
      </c>
      <c r="P974" s="12">
        <v>220</v>
      </c>
      <c r="Q974" s="12">
        <v>8</v>
      </c>
      <c r="R974" s="13" t="s">
        <v>43</v>
      </c>
      <c r="S974" s="13"/>
      <c r="T974" s="15">
        <v>5000</v>
      </c>
      <c r="U974" s="13" t="s">
        <v>52</v>
      </c>
      <c r="V974" s="13" t="s">
        <v>45</v>
      </c>
      <c r="W974" s="12">
        <v>10</v>
      </c>
      <c r="X974" s="33" t="str">
        <f>HYPERLINK("https://www.alpinabook.ru/catalog/book-v-sadu-chudovishch","ссылка на книгу")</f>
        <v>ссылка на книгу</v>
      </c>
      <c r="Y974" s="34" t="str">
        <f>HYPERLINK("https://api-enni.alpina.ru/FilePrivilegesApproval/132","https://api-enni.alpina.ru/FilePrivilegesApproval/132")</f>
        <v>https://api-enni.alpina.ru/FilePrivilegesApproval/132</v>
      </c>
      <c r="Z974" s="13"/>
      <c r="AT974" s="1">
        <f t="shared" si="153"/>
        <v>0</v>
      </c>
      <c r="AU974" s="1">
        <f t="shared" si="154"/>
        <v>0</v>
      </c>
      <c r="AV974" s="1">
        <f t="shared" si="155"/>
        <v>0</v>
      </c>
      <c r="AW974" s="1">
        <f t="shared" si="156"/>
        <v>0</v>
      </c>
      <c r="AX974" s="1">
        <f t="shared" si="157"/>
        <v>0</v>
      </c>
    </row>
    <row r="975" spans="1:50" s="1" customFormat="1" ht="24.95" customHeight="1" outlineLevel="3" x14ac:dyDescent="0.2">
      <c r="A975" s="11"/>
      <c r="B975" s="12">
        <v>590</v>
      </c>
      <c r="C975" s="12">
        <v>840</v>
      </c>
      <c r="D975" s="12">
        <v>17192</v>
      </c>
      <c r="E975" s="13" t="s">
        <v>3200</v>
      </c>
      <c r="F975" s="13" t="s">
        <v>3201</v>
      </c>
      <c r="G975" s="13" t="s">
        <v>56</v>
      </c>
      <c r="H975" s="13" t="s">
        <v>40</v>
      </c>
      <c r="I975" s="12">
        <v>2021</v>
      </c>
      <c r="J975" s="13" t="s">
        <v>3202</v>
      </c>
      <c r="K975" s="12">
        <v>9785961439373</v>
      </c>
      <c r="L975" s="13" t="s">
        <v>3203</v>
      </c>
      <c r="M975" s="12">
        <v>384</v>
      </c>
      <c r="N975" s="14">
        <v>0.56000000000000005</v>
      </c>
      <c r="O975" s="12">
        <v>146</v>
      </c>
      <c r="P975" s="12">
        <v>216</v>
      </c>
      <c r="Q975" s="12">
        <v>8</v>
      </c>
      <c r="R975" s="13" t="s">
        <v>43</v>
      </c>
      <c r="S975" s="13"/>
      <c r="T975" s="15">
        <v>1500</v>
      </c>
      <c r="U975" s="13" t="s">
        <v>52</v>
      </c>
      <c r="V975" s="13" t="s">
        <v>45</v>
      </c>
      <c r="W975" s="12">
        <v>10</v>
      </c>
      <c r="X975" s="33" t="str">
        <f>HYPERLINK("https://www.alpinabook.ru/catalog/book-691239","ссылка на книгу")</f>
        <v>ссылка на книгу</v>
      </c>
      <c r="Y975" s="34" t="str">
        <f>HYPERLINK("https://api-enni.alpina.ru/FilePrivilegesApproval/108","https://api-enni.alpina.ru/FilePrivilegesApproval/108")</f>
        <v>https://api-enni.alpina.ru/FilePrivilegesApproval/108</v>
      </c>
      <c r="Z975" s="13"/>
      <c r="AT975" s="1">
        <f t="shared" si="153"/>
        <v>0</v>
      </c>
      <c r="AU975" s="1">
        <f t="shared" si="154"/>
        <v>0</v>
      </c>
      <c r="AV975" s="1">
        <f t="shared" si="155"/>
        <v>0</v>
      </c>
      <c r="AW975" s="1">
        <f t="shared" si="156"/>
        <v>0</v>
      </c>
      <c r="AX975" s="1">
        <f t="shared" si="157"/>
        <v>0</v>
      </c>
    </row>
    <row r="976" spans="1:50" s="1" customFormat="1" ht="24.95" customHeight="1" outlineLevel="3" x14ac:dyDescent="0.2">
      <c r="A976" s="11"/>
      <c r="B976" s="15">
        <v>1190</v>
      </c>
      <c r="C976" s="15">
        <v>1690</v>
      </c>
      <c r="D976" s="12">
        <v>23136</v>
      </c>
      <c r="E976" s="13" t="s">
        <v>2378</v>
      </c>
      <c r="F976" s="13" t="s">
        <v>3204</v>
      </c>
      <c r="G976" s="13" t="s">
        <v>86</v>
      </c>
      <c r="H976" s="13" t="s">
        <v>40</v>
      </c>
      <c r="I976" s="12">
        <v>2025</v>
      </c>
      <c r="J976" s="13" t="s">
        <v>3205</v>
      </c>
      <c r="K976" s="12">
        <v>9785001398165</v>
      </c>
      <c r="L976" s="13" t="s">
        <v>3206</v>
      </c>
      <c r="M976" s="12">
        <v>448</v>
      </c>
      <c r="N976" s="14">
        <v>0.74</v>
      </c>
      <c r="O976" s="12">
        <v>170</v>
      </c>
      <c r="P976" s="12">
        <v>240</v>
      </c>
      <c r="Q976" s="12">
        <v>4</v>
      </c>
      <c r="R976" s="13" t="s">
        <v>94</v>
      </c>
      <c r="S976" s="13"/>
      <c r="T976" s="15">
        <v>1500</v>
      </c>
      <c r="U976" s="13" t="s">
        <v>52</v>
      </c>
      <c r="V976" s="13" t="s">
        <v>45</v>
      </c>
      <c r="W976" s="12">
        <v>10</v>
      </c>
      <c r="X976" s="33" t="str">
        <f>HYPERLINK("https://www.alpinabook.ru/catalog/book-voyna-aloy-i-beloy-rozy","ссылка на книгу")</f>
        <v>ссылка на книгу</v>
      </c>
      <c r="Y976" s="34" t="str">
        <f>HYPERLINK("https://api-enni.alpina.ru/FilePrivilegesApproval/171","https://api-enni.alpina.ru/FilePrivilegesApproval/171")</f>
        <v>https://api-enni.alpina.ru/FilePrivilegesApproval/171</v>
      </c>
      <c r="Z976" s="13" t="s">
        <v>374</v>
      </c>
      <c r="AT976" s="1">
        <f t="shared" si="153"/>
        <v>0</v>
      </c>
      <c r="AU976" s="1">
        <f t="shared" si="154"/>
        <v>0</v>
      </c>
      <c r="AV976" s="1">
        <f t="shared" si="155"/>
        <v>0</v>
      </c>
      <c r="AW976" s="1">
        <f t="shared" si="156"/>
        <v>0</v>
      </c>
      <c r="AX976" s="1">
        <f t="shared" si="157"/>
        <v>0</v>
      </c>
    </row>
    <row r="977" spans="1:50" s="1" customFormat="1" ht="24.95" customHeight="1" outlineLevel="3" x14ac:dyDescent="0.2">
      <c r="A977" s="11"/>
      <c r="B977" s="12">
        <v>640</v>
      </c>
      <c r="C977" s="12">
        <v>990</v>
      </c>
      <c r="D977" s="12">
        <v>25720</v>
      </c>
      <c r="E977" s="13" t="s">
        <v>3207</v>
      </c>
      <c r="F977" s="13" t="s">
        <v>3208</v>
      </c>
      <c r="G977" s="13" t="s">
        <v>86</v>
      </c>
      <c r="H977" s="13"/>
      <c r="I977" s="12">
        <v>2023</v>
      </c>
      <c r="J977" s="13" t="s">
        <v>3209</v>
      </c>
      <c r="K977" s="12">
        <v>9785001399094</v>
      </c>
      <c r="L977" s="13" t="s">
        <v>3210</v>
      </c>
      <c r="M977" s="12">
        <v>408</v>
      </c>
      <c r="N977" s="14">
        <v>0.4</v>
      </c>
      <c r="O977" s="12">
        <v>141</v>
      </c>
      <c r="P977" s="12">
        <v>210</v>
      </c>
      <c r="Q977" s="12">
        <v>12</v>
      </c>
      <c r="R977" s="13" t="s">
        <v>43</v>
      </c>
      <c r="S977" s="13"/>
      <c r="T977" s="15">
        <v>2000</v>
      </c>
      <c r="U977" s="13" t="s">
        <v>44</v>
      </c>
      <c r="V977" s="13" t="s">
        <v>45</v>
      </c>
      <c r="W977" s="12">
        <v>10</v>
      </c>
      <c r="X977" s="33" t="str">
        <f>HYPERLINK("https://www.alpinabook.ru/catalog/book-vokrug-togo-sveta","ссылка на книгу")</f>
        <v>ссылка на книгу</v>
      </c>
      <c r="Y977" s="34" t="str">
        <f>HYPERLINK("https://api-enni.alpina.ru/FilePrivilegesApproval/148","https://api-enni.alpina.ru/FilePrivilegesApproval/148")</f>
        <v>https://api-enni.alpina.ru/FilePrivilegesApproval/148</v>
      </c>
      <c r="Z977" s="13"/>
      <c r="AT977" s="1">
        <f t="shared" si="153"/>
        <v>0</v>
      </c>
      <c r="AU977" s="1">
        <f t="shared" si="154"/>
        <v>0</v>
      </c>
      <c r="AV977" s="1">
        <f t="shared" si="155"/>
        <v>0</v>
      </c>
      <c r="AW977" s="1">
        <f t="shared" si="156"/>
        <v>0</v>
      </c>
      <c r="AX977" s="1">
        <f t="shared" si="157"/>
        <v>0</v>
      </c>
    </row>
    <row r="978" spans="1:50" s="1" customFormat="1" ht="24.95" customHeight="1" outlineLevel="3" x14ac:dyDescent="0.2">
      <c r="A978" s="11"/>
      <c r="B978" s="15">
        <v>1890</v>
      </c>
      <c r="C978" s="15">
        <v>2390</v>
      </c>
      <c r="D978" s="12">
        <v>11163</v>
      </c>
      <c r="E978" s="13" t="s">
        <v>541</v>
      </c>
      <c r="F978" s="13" t="s">
        <v>3211</v>
      </c>
      <c r="G978" s="13" t="s">
        <v>86</v>
      </c>
      <c r="H978" s="13"/>
      <c r="I978" s="12">
        <v>2023</v>
      </c>
      <c r="J978" s="13" t="s">
        <v>3212</v>
      </c>
      <c r="K978" s="12">
        <v>9785001394334</v>
      </c>
      <c r="L978" s="13" t="s">
        <v>3213</v>
      </c>
      <c r="M978" s="12">
        <v>368</v>
      </c>
      <c r="N978" s="14">
        <v>1.7</v>
      </c>
      <c r="O978" s="12">
        <v>206</v>
      </c>
      <c r="P978" s="12">
        <v>257</v>
      </c>
      <c r="Q978" s="12">
        <v>3</v>
      </c>
      <c r="R978" s="13" t="s">
        <v>300</v>
      </c>
      <c r="S978" s="13"/>
      <c r="T978" s="15">
        <v>1500</v>
      </c>
      <c r="U978" s="13" t="s">
        <v>52</v>
      </c>
      <c r="V978" s="13" t="s">
        <v>59</v>
      </c>
      <c r="W978" s="12">
        <v>10</v>
      </c>
      <c r="X978" s="33" t="str">
        <f>HYPERLINK("https://www.alpinabook.ru/catalog/book-voobrazhaemyy-vrag","ссылка на книгу")</f>
        <v>ссылка на книгу</v>
      </c>
      <c r="Y978" s="34" t="str">
        <f>HYPERLINK("https://api-enni.alpina.ru/FilePrivilegesApproval/145","https://api-enni.alpina.ru/FilePrivilegesApproval/145")</f>
        <v>https://api-enni.alpina.ru/FilePrivilegesApproval/145</v>
      </c>
      <c r="Z978" s="13"/>
      <c r="AT978" s="1">
        <f t="shared" si="153"/>
        <v>0</v>
      </c>
      <c r="AU978" s="1">
        <f t="shared" si="154"/>
        <v>0</v>
      </c>
      <c r="AV978" s="1">
        <f t="shared" si="155"/>
        <v>0</v>
      </c>
      <c r="AW978" s="1">
        <f t="shared" si="156"/>
        <v>0</v>
      </c>
      <c r="AX978" s="1">
        <f t="shared" si="157"/>
        <v>0</v>
      </c>
    </row>
    <row r="979" spans="1:50" s="1" customFormat="1" ht="24.95" customHeight="1" outlineLevel="3" x14ac:dyDescent="0.2">
      <c r="A979" s="26"/>
      <c r="B979" s="27">
        <v>490</v>
      </c>
      <c r="C979" s="27">
        <v>740</v>
      </c>
      <c r="D979" s="27">
        <v>11179</v>
      </c>
      <c r="E979" s="29" t="s">
        <v>3214</v>
      </c>
      <c r="F979" s="29" t="s">
        <v>3215</v>
      </c>
      <c r="G979" s="29" t="s">
        <v>86</v>
      </c>
      <c r="H979" s="29" t="s">
        <v>40</v>
      </c>
      <c r="I979" s="27">
        <v>2023</v>
      </c>
      <c r="J979" s="29" t="s">
        <v>3216</v>
      </c>
      <c r="K979" s="27">
        <v>9785001391678</v>
      </c>
      <c r="L979" s="29" t="s">
        <v>3217</v>
      </c>
      <c r="M979" s="27">
        <v>226</v>
      </c>
      <c r="N979" s="30">
        <v>0.3</v>
      </c>
      <c r="O979" s="27">
        <v>140</v>
      </c>
      <c r="P979" s="27">
        <v>210</v>
      </c>
      <c r="Q979" s="27">
        <v>18</v>
      </c>
      <c r="R979" s="29" t="s">
        <v>43</v>
      </c>
      <c r="S979" s="29"/>
      <c r="T979" s="28">
        <v>1000</v>
      </c>
      <c r="U979" s="29" t="s">
        <v>44</v>
      </c>
      <c r="V979" s="29" t="s">
        <v>64</v>
      </c>
      <c r="W979" s="27">
        <v>10</v>
      </c>
      <c r="X979" s="37" t="str">
        <f>HYPERLINK("https://www.alpinabook.ru/catalog/book-vsemirnaya-istoriya-v-voprosakh-i-otvetakh","ссылка на книгу")</f>
        <v>ссылка на книгу</v>
      </c>
      <c r="Y979" s="38" t="str">
        <f>HYPERLINK("https://api-enni.alpina.ru/FilePrivilegesApproval/266","https://api-enni.alpina.ru/FilePrivilegesApproval/266")</f>
        <v>https://api-enni.alpina.ru/FilePrivilegesApproval/266</v>
      </c>
      <c r="Z979" s="29"/>
      <c r="AT979" s="1">
        <f t="shared" si="153"/>
        <v>0</v>
      </c>
      <c r="AU979" s="1">
        <f t="shared" si="154"/>
        <v>0</v>
      </c>
      <c r="AV979" s="1">
        <f t="shared" si="155"/>
        <v>0</v>
      </c>
      <c r="AW979" s="1">
        <f t="shared" si="156"/>
        <v>0</v>
      </c>
      <c r="AX979" s="1">
        <f t="shared" si="157"/>
        <v>0</v>
      </c>
    </row>
    <row r="980" spans="1:50" s="1" customFormat="1" ht="24.95" customHeight="1" outlineLevel="3" x14ac:dyDescent="0.2">
      <c r="A980" s="11"/>
      <c r="B980" s="15">
        <v>2290</v>
      </c>
      <c r="C980" s="15">
        <v>2490</v>
      </c>
      <c r="D980" s="12">
        <v>17299</v>
      </c>
      <c r="E980" s="13" t="s">
        <v>2330</v>
      </c>
      <c r="F980" s="13" t="s">
        <v>2331</v>
      </c>
      <c r="G980" s="13" t="s">
        <v>86</v>
      </c>
      <c r="H980" s="13" t="s">
        <v>40</v>
      </c>
      <c r="I980" s="12">
        <v>2024</v>
      </c>
      <c r="J980" s="13" t="s">
        <v>3218</v>
      </c>
      <c r="K980" s="12">
        <v>9785001391982</v>
      </c>
      <c r="L980" s="13" t="s">
        <v>3219</v>
      </c>
      <c r="M980" s="15">
        <v>2240</v>
      </c>
      <c r="N980" s="14">
        <v>2.08</v>
      </c>
      <c r="O980" s="12">
        <v>140</v>
      </c>
      <c r="P980" s="12">
        <v>210</v>
      </c>
      <c r="Q980" s="12">
        <v>2</v>
      </c>
      <c r="R980" s="13" t="s">
        <v>43</v>
      </c>
      <c r="S980" s="13" t="s">
        <v>3220</v>
      </c>
      <c r="T980" s="15">
        <v>2000</v>
      </c>
      <c r="U980" s="13" t="s">
        <v>44</v>
      </c>
      <c r="V980" s="13" t="s">
        <v>59</v>
      </c>
      <c r="W980" s="12">
        <v>10</v>
      </c>
      <c r="X980" s="33" t="str">
        <f>HYPERLINK("https://www.alpinabook.ru/catalog/book-vtoraya-mirovaya","ссылка на книгу")</f>
        <v>ссылка на книгу</v>
      </c>
      <c r="Y980" s="34" t="str">
        <f>HYPERLINK("https://api-enni.alpina.ru/FilePrivilegesApproval/151","https://api-enni.alpina.ru/FilePrivilegesApproval/151")</f>
        <v>https://api-enni.alpina.ru/FilePrivilegesApproval/151</v>
      </c>
      <c r="Z980" s="13"/>
      <c r="AT980" s="1">
        <f t="shared" si="153"/>
        <v>0</v>
      </c>
      <c r="AU980" s="1">
        <f t="shared" si="154"/>
        <v>0</v>
      </c>
      <c r="AV980" s="1">
        <f t="shared" si="155"/>
        <v>0</v>
      </c>
      <c r="AW980" s="1">
        <f t="shared" si="156"/>
        <v>0</v>
      </c>
      <c r="AX980" s="1">
        <f t="shared" si="157"/>
        <v>0</v>
      </c>
    </row>
    <row r="981" spans="1:50" s="1" customFormat="1" ht="24.95" customHeight="1" outlineLevel="3" x14ac:dyDescent="0.2">
      <c r="A981" s="11"/>
      <c r="B981" s="15">
        <v>1090</v>
      </c>
      <c r="C981" s="15">
        <v>1190</v>
      </c>
      <c r="D981" s="12">
        <v>17306</v>
      </c>
      <c r="E981" s="13" t="s">
        <v>375</v>
      </c>
      <c r="F981" s="13" t="s">
        <v>376</v>
      </c>
      <c r="G981" s="13" t="s">
        <v>86</v>
      </c>
      <c r="H981" s="13" t="s">
        <v>40</v>
      </c>
      <c r="I981" s="12">
        <v>2025</v>
      </c>
      <c r="J981" s="13" t="s">
        <v>377</v>
      </c>
      <c r="K981" s="12">
        <v>9785001392668</v>
      </c>
      <c r="L981" s="13" t="s">
        <v>378</v>
      </c>
      <c r="M981" s="12">
        <v>510</v>
      </c>
      <c r="N981" s="14">
        <v>0.72</v>
      </c>
      <c r="O981" s="12">
        <v>150</v>
      </c>
      <c r="P981" s="12">
        <v>220</v>
      </c>
      <c r="Q981" s="12">
        <v>8</v>
      </c>
      <c r="R981" s="13" t="s">
        <v>43</v>
      </c>
      <c r="S981" s="13"/>
      <c r="T981" s="15">
        <v>2000</v>
      </c>
      <c r="U981" s="13" t="s">
        <v>52</v>
      </c>
      <c r="V981" s="13" t="s">
        <v>45</v>
      </c>
      <c r="W981" s="12">
        <v>10</v>
      </c>
      <c r="X981" s="33" t="str">
        <f>HYPERLINK("https://www.alpinabook.ru/catalog/book-gabsburgi","ссылка на книгу")</f>
        <v>ссылка на книгу</v>
      </c>
      <c r="Y981" s="34" t="str">
        <f>HYPERLINK("https://api-enni.alpina.ru/FilePrivilegesApproval/848","https://api-enni.alpina.ru/FilePrivilegesApproval/848")</f>
        <v>https://api-enni.alpina.ru/FilePrivilegesApproval/848</v>
      </c>
      <c r="Z981" s="13" t="s">
        <v>46</v>
      </c>
      <c r="AT981" s="1">
        <f t="shared" si="153"/>
        <v>0</v>
      </c>
      <c r="AU981" s="1">
        <f t="shared" si="154"/>
        <v>0</v>
      </c>
      <c r="AV981" s="1">
        <f t="shared" si="155"/>
        <v>0</v>
      </c>
      <c r="AW981" s="1">
        <f t="shared" si="156"/>
        <v>0</v>
      </c>
      <c r="AX981" s="1">
        <f t="shared" si="157"/>
        <v>0</v>
      </c>
    </row>
    <row r="982" spans="1:50" s="1" customFormat="1" ht="24.95" customHeight="1" outlineLevel="3" x14ac:dyDescent="0.2">
      <c r="A982" s="11"/>
      <c r="B982" s="12">
        <v>590</v>
      </c>
      <c r="C982" s="12">
        <v>840</v>
      </c>
      <c r="D982" s="12">
        <v>29322</v>
      </c>
      <c r="E982" s="13" t="s">
        <v>3221</v>
      </c>
      <c r="F982" s="13" t="s">
        <v>3222</v>
      </c>
      <c r="G982" s="13" t="s">
        <v>86</v>
      </c>
      <c r="H982" s="13"/>
      <c r="I982" s="12">
        <v>2025</v>
      </c>
      <c r="J982" s="13" t="s">
        <v>3223</v>
      </c>
      <c r="K982" s="12">
        <v>9785002231331</v>
      </c>
      <c r="L982" s="13" t="s">
        <v>3224</v>
      </c>
      <c r="M982" s="12">
        <v>240</v>
      </c>
      <c r="N982" s="14">
        <v>0.27</v>
      </c>
      <c r="O982" s="12">
        <v>130</v>
      </c>
      <c r="P982" s="12">
        <v>210</v>
      </c>
      <c r="Q982" s="12">
        <v>14</v>
      </c>
      <c r="R982" s="13" t="s">
        <v>82</v>
      </c>
      <c r="S982" s="13"/>
      <c r="T982" s="15">
        <v>2000</v>
      </c>
      <c r="U982" s="13" t="s">
        <v>52</v>
      </c>
      <c r="V982" s="13" t="s">
        <v>45</v>
      </c>
      <c r="W982" s="12">
        <v>10</v>
      </c>
      <c r="X982" s="33" t="str">
        <f>HYPERLINK("https://www.alpinabook.ru/catalog/book-govoryashchie-s-dukhami","ссылка на книгу")</f>
        <v>ссылка на книгу</v>
      </c>
      <c r="Y982" s="34" t="str">
        <f>HYPERLINK("https://api-enni.alpina.ru/FilePrivilegesApproval/687","https://api-enni.alpina.ru/FilePrivilegesApproval/687")</f>
        <v>https://api-enni.alpina.ru/FilePrivilegesApproval/687</v>
      </c>
      <c r="Z982" s="13"/>
      <c r="AT982" s="1">
        <f t="shared" si="153"/>
        <v>0</v>
      </c>
      <c r="AU982" s="1">
        <f t="shared" si="154"/>
        <v>0</v>
      </c>
      <c r="AV982" s="1">
        <f t="shared" si="155"/>
        <v>0</v>
      </c>
      <c r="AW982" s="1">
        <f t="shared" si="156"/>
        <v>0</v>
      </c>
      <c r="AX982" s="1">
        <f t="shared" si="157"/>
        <v>0</v>
      </c>
    </row>
    <row r="983" spans="1:50" s="1" customFormat="1" ht="24.95" customHeight="1" outlineLevel="3" x14ac:dyDescent="0.2">
      <c r="A983" s="11"/>
      <c r="B983" s="12">
        <v>790</v>
      </c>
      <c r="C983" s="15">
        <v>1190</v>
      </c>
      <c r="D983" s="12">
        <v>25433</v>
      </c>
      <c r="E983" s="13" t="s">
        <v>339</v>
      </c>
      <c r="F983" s="13" t="s">
        <v>3225</v>
      </c>
      <c r="G983" s="13" t="s">
        <v>86</v>
      </c>
      <c r="H983" s="13"/>
      <c r="I983" s="12">
        <v>2025</v>
      </c>
      <c r="J983" s="13" t="s">
        <v>3226</v>
      </c>
      <c r="K983" s="12">
        <v>9785001397038</v>
      </c>
      <c r="L983" s="13" t="s">
        <v>3227</v>
      </c>
      <c r="M983" s="12">
        <v>286</v>
      </c>
      <c r="N983" s="14">
        <v>0.54</v>
      </c>
      <c r="O983" s="12">
        <v>170</v>
      </c>
      <c r="P983" s="12">
        <v>230</v>
      </c>
      <c r="Q983" s="12">
        <v>7</v>
      </c>
      <c r="R983" s="13" t="s">
        <v>100</v>
      </c>
      <c r="S983" s="13"/>
      <c r="T983" s="15">
        <v>1500</v>
      </c>
      <c r="U983" s="13" t="s">
        <v>52</v>
      </c>
      <c r="V983" s="13" t="s">
        <v>59</v>
      </c>
      <c r="W983" s="12">
        <v>10</v>
      </c>
      <c r="X983" s="33" t="str">
        <f>HYPERLINK("https://www.alpinabook.ru/catalog/book-gornozavodskaya-tsivilizatsiya","ссылка на книгу")</f>
        <v>ссылка на книгу</v>
      </c>
      <c r="Y983" s="34" t="str">
        <f>HYPERLINK("https://api-enni.alpina.ru/FilePrivilegesApproval/175","https://api-enni.alpina.ru/FilePrivilegesApproval/175")</f>
        <v>https://api-enni.alpina.ru/FilePrivilegesApproval/175</v>
      </c>
      <c r="Z983" s="13"/>
      <c r="AT983" s="1">
        <f t="shared" si="153"/>
        <v>0</v>
      </c>
      <c r="AU983" s="1">
        <f t="shared" si="154"/>
        <v>0</v>
      </c>
      <c r="AV983" s="1">
        <f t="shared" si="155"/>
        <v>0</v>
      </c>
      <c r="AW983" s="1">
        <f t="shared" si="156"/>
        <v>0</v>
      </c>
      <c r="AX983" s="1">
        <f t="shared" si="157"/>
        <v>0</v>
      </c>
    </row>
    <row r="984" spans="1:50" s="1" customFormat="1" ht="24.95" customHeight="1" outlineLevel="3" x14ac:dyDescent="0.2">
      <c r="A984" s="11"/>
      <c r="B984" s="12">
        <v>940</v>
      </c>
      <c r="C984" s="15">
        <v>1190</v>
      </c>
      <c r="D984" s="12">
        <v>25768</v>
      </c>
      <c r="E984" s="13" t="s">
        <v>3228</v>
      </c>
      <c r="F984" s="13" t="s">
        <v>3229</v>
      </c>
      <c r="G984" s="13" t="s">
        <v>86</v>
      </c>
      <c r="H984" s="13"/>
      <c r="I984" s="12">
        <v>2025</v>
      </c>
      <c r="J984" s="13" t="s">
        <v>3230</v>
      </c>
      <c r="K984" s="12">
        <v>9785001397090</v>
      </c>
      <c r="L984" s="13" t="s">
        <v>3231</v>
      </c>
      <c r="M984" s="12">
        <v>338</v>
      </c>
      <c r="N984" s="14">
        <v>0.61</v>
      </c>
      <c r="O984" s="12">
        <v>170</v>
      </c>
      <c r="P984" s="12">
        <v>230</v>
      </c>
      <c r="Q984" s="12">
        <v>6</v>
      </c>
      <c r="R984" s="13" t="s">
        <v>100</v>
      </c>
      <c r="S984" s="13"/>
      <c r="T984" s="15">
        <v>1000</v>
      </c>
      <c r="U984" s="13" t="s">
        <v>52</v>
      </c>
      <c r="V984" s="13" t="s">
        <v>45</v>
      </c>
      <c r="W984" s="12">
        <v>10</v>
      </c>
      <c r="X984" s="33" t="str">
        <f>HYPERLINK("https://www.alpinabook.ru/catalog/book-debri","ссылка на книгу")</f>
        <v>ссылка на книгу</v>
      </c>
      <c r="Y984" s="34" t="str">
        <f>HYPERLINK("https://api-enni.alpina.ru/FilePrivilegesApproval/179","https://api-enni.alpina.ru/FilePrivilegesApproval/179")</f>
        <v>https://api-enni.alpina.ru/FilePrivilegesApproval/179</v>
      </c>
      <c r="Z984" s="13"/>
      <c r="AT984" s="1">
        <f t="shared" si="153"/>
        <v>0</v>
      </c>
      <c r="AU984" s="1">
        <f t="shared" si="154"/>
        <v>0</v>
      </c>
      <c r="AV984" s="1">
        <f t="shared" si="155"/>
        <v>0</v>
      </c>
      <c r="AW984" s="1">
        <f t="shared" si="156"/>
        <v>0</v>
      </c>
      <c r="AX984" s="1">
        <f t="shared" si="157"/>
        <v>0</v>
      </c>
    </row>
    <row r="985" spans="1:50" s="1" customFormat="1" ht="24.95" customHeight="1" outlineLevel="3" x14ac:dyDescent="0.2">
      <c r="A985" s="11"/>
      <c r="B985" s="12">
        <v>640</v>
      </c>
      <c r="C985" s="12">
        <v>940</v>
      </c>
      <c r="D985" s="12">
        <v>29438</v>
      </c>
      <c r="E985" s="13" t="s">
        <v>3232</v>
      </c>
      <c r="F985" s="13" t="s">
        <v>3233</v>
      </c>
      <c r="G985" s="13" t="s">
        <v>56</v>
      </c>
      <c r="H985" s="13" t="s">
        <v>40</v>
      </c>
      <c r="I985" s="12">
        <v>2024</v>
      </c>
      <c r="J985" s="13" t="s">
        <v>3234</v>
      </c>
      <c r="K985" s="12">
        <v>9785961492644</v>
      </c>
      <c r="L985" s="13" t="s">
        <v>3235</v>
      </c>
      <c r="M985" s="12">
        <v>296</v>
      </c>
      <c r="N985" s="14">
        <v>0.46</v>
      </c>
      <c r="O985" s="12">
        <v>150</v>
      </c>
      <c r="P985" s="12">
        <v>220</v>
      </c>
      <c r="Q985" s="12">
        <v>12</v>
      </c>
      <c r="R985" s="13" t="s">
        <v>43</v>
      </c>
      <c r="S985" s="13"/>
      <c r="T985" s="15">
        <v>2000</v>
      </c>
      <c r="U985" s="13" t="s">
        <v>52</v>
      </c>
      <c r="V985" s="13" t="s">
        <v>89</v>
      </c>
      <c r="W985" s="12">
        <v>10</v>
      </c>
      <c r="X985" s="33" t="str">
        <f>HYPERLINK("https://www.alpinabook.ru/catalog/book-diversant-aristokrat-mstitel","ссылка на книгу")</f>
        <v>ссылка на книгу</v>
      </c>
      <c r="Y985" s="34" t="str">
        <f>HYPERLINK("https://api-enni.alpina.ru/FilePrivilegesApproval/746","https://api-enni.alpina.ru/FilePrivilegesApproval/746")</f>
        <v>https://api-enni.alpina.ru/FilePrivilegesApproval/746</v>
      </c>
      <c r="Z985" s="13"/>
      <c r="AT985" s="1">
        <f t="shared" si="153"/>
        <v>0</v>
      </c>
      <c r="AU985" s="1">
        <f t="shared" si="154"/>
        <v>0</v>
      </c>
      <c r="AV985" s="1">
        <f t="shared" si="155"/>
        <v>0</v>
      </c>
      <c r="AW985" s="1">
        <f t="shared" si="156"/>
        <v>0</v>
      </c>
      <c r="AX985" s="1">
        <f t="shared" si="157"/>
        <v>0</v>
      </c>
    </row>
    <row r="986" spans="1:50" s="1" customFormat="1" ht="24.95" customHeight="1" outlineLevel="3" x14ac:dyDescent="0.2">
      <c r="A986" s="11"/>
      <c r="B986" s="12">
        <v>790</v>
      </c>
      <c r="C986" s="15">
        <v>1190</v>
      </c>
      <c r="D986" s="12">
        <v>11610</v>
      </c>
      <c r="E986" s="13" t="s">
        <v>3236</v>
      </c>
      <c r="F986" s="13" t="s">
        <v>3237</v>
      </c>
      <c r="G986" s="13" t="s">
        <v>86</v>
      </c>
      <c r="H986" s="13" t="s">
        <v>40</v>
      </c>
      <c r="I986" s="12">
        <v>2020</v>
      </c>
      <c r="J986" s="13" t="s">
        <v>3238</v>
      </c>
      <c r="K986" s="12">
        <v>9785001391760</v>
      </c>
      <c r="L986" s="13" t="s">
        <v>3239</v>
      </c>
      <c r="M986" s="12">
        <v>627</v>
      </c>
      <c r="N986" s="14">
        <v>0.72</v>
      </c>
      <c r="O986" s="12">
        <v>146</v>
      </c>
      <c r="P986" s="12">
        <v>216</v>
      </c>
      <c r="Q986" s="12">
        <v>6</v>
      </c>
      <c r="R986" s="13" t="s">
        <v>43</v>
      </c>
      <c r="S986" s="13"/>
      <c r="T986" s="15">
        <v>4000</v>
      </c>
      <c r="U986" s="13" t="s">
        <v>52</v>
      </c>
      <c r="V986" s="13" t="s">
        <v>45</v>
      </c>
      <c r="W986" s="12">
        <v>10</v>
      </c>
      <c r="X986" s="33" t="str">
        <f>HYPERLINK("https://www.alpinabook.ru/catalog/book-594967","ссылка на книгу")</f>
        <v>ссылка на книгу</v>
      </c>
      <c r="Y986" s="34" t="str">
        <f>HYPERLINK("https://api-enni.alpina.ru/FilePrivilegesApproval/270","https://api-enni.alpina.ru/FilePrivilegesApproval/270")</f>
        <v>https://api-enni.alpina.ru/FilePrivilegesApproval/270</v>
      </c>
      <c r="Z986" s="13"/>
      <c r="AT986" s="1">
        <f t="shared" si="153"/>
        <v>0</v>
      </c>
      <c r="AU986" s="1">
        <f t="shared" si="154"/>
        <v>0</v>
      </c>
      <c r="AV986" s="1">
        <f t="shared" si="155"/>
        <v>0</v>
      </c>
      <c r="AW986" s="1">
        <f t="shared" si="156"/>
        <v>0</v>
      </c>
      <c r="AX986" s="1">
        <f t="shared" si="157"/>
        <v>0</v>
      </c>
    </row>
    <row r="987" spans="1:50" s="1" customFormat="1" ht="24.95" customHeight="1" outlineLevel="3" x14ac:dyDescent="0.2">
      <c r="A987" s="11"/>
      <c r="B987" s="12">
        <v>790</v>
      </c>
      <c r="C987" s="12">
        <v>790</v>
      </c>
      <c r="D987" s="12">
        <v>18728</v>
      </c>
      <c r="E987" s="13" t="s">
        <v>3240</v>
      </c>
      <c r="F987" s="13" t="s">
        <v>3241</v>
      </c>
      <c r="G987" s="13" t="s">
        <v>86</v>
      </c>
      <c r="H987" s="13" t="s">
        <v>40</v>
      </c>
      <c r="I987" s="12">
        <v>2024</v>
      </c>
      <c r="J987" s="13" t="s">
        <v>3242</v>
      </c>
      <c r="K987" s="12">
        <v>9785001393443</v>
      </c>
      <c r="L987" s="13" t="s">
        <v>3243</v>
      </c>
      <c r="M987" s="12">
        <v>354</v>
      </c>
      <c r="N987" s="14">
        <v>0.53</v>
      </c>
      <c r="O987" s="12">
        <v>150</v>
      </c>
      <c r="P987" s="12">
        <v>220</v>
      </c>
      <c r="Q987" s="12">
        <v>12</v>
      </c>
      <c r="R987" s="13" t="s">
        <v>43</v>
      </c>
      <c r="S987" s="13"/>
      <c r="T987" s="15">
        <v>1500</v>
      </c>
      <c r="U987" s="13" t="s">
        <v>52</v>
      </c>
      <c r="V987" s="13" t="s">
        <v>45</v>
      </c>
      <c r="W987" s="12">
        <v>10</v>
      </c>
      <c r="X987" s="33" t="str">
        <f>HYPERLINK("https://www.alpinabook.ru/catalog/book-zemlya-oderzhimaya-demonami","ссылка на книгу")</f>
        <v>ссылка на книгу</v>
      </c>
      <c r="Y987" s="34" t="str">
        <f>HYPERLINK("https://api-enni.alpina.ru/FilePrivilegesApproval/149","https://api-enni.alpina.ru/FilePrivilegesApproval/149")</f>
        <v>https://api-enni.alpina.ru/FilePrivilegesApproval/149</v>
      </c>
      <c r="Z987" s="13"/>
      <c r="AT987" s="1">
        <f t="shared" si="153"/>
        <v>0</v>
      </c>
      <c r="AU987" s="1">
        <f t="shared" si="154"/>
        <v>0</v>
      </c>
      <c r="AV987" s="1">
        <f t="shared" si="155"/>
        <v>0</v>
      </c>
      <c r="AW987" s="1">
        <f t="shared" si="156"/>
        <v>0</v>
      </c>
      <c r="AX987" s="1">
        <f t="shared" si="157"/>
        <v>0</v>
      </c>
    </row>
    <row r="988" spans="1:50" s="1" customFormat="1" ht="24.95" customHeight="1" outlineLevel="3" x14ac:dyDescent="0.2">
      <c r="A988" s="11"/>
      <c r="B988" s="15">
        <v>1890</v>
      </c>
      <c r="C988" s="15">
        <v>1990</v>
      </c>
      <c r="D988" s="12">
        <v>21179</v>
      </c>
      <c r="E988" s="13" t="s">
        <v>541</v>
      </c>
      <c r="F988" s="13" t="s">
        <v>3244</v>
      </c>
      <c r="G988" s="13" t="s">
        <v>86</v>
      </c>
      <c r="H988" s="13"/>
      <c r="I988" s="12">
        <v>2023</v>
      </c>
      <c r="J988" s="13" t="s">
        <v>3245</v>
      </c>
      <c r="K988" s="12">
        <v>9785001398172</v>
      </c>
      <c r="L988" s="13" t="s">
        <v>3246</v>
      </c>
      <c r="M988" s="12">
        <v>312</v>
      </c>
      <c r="N988" s="14">
        <v>1.4</v>
      </c>
      <c r="O988" s="12">
        <v>206</v>
      </c>
      <c r="P988" s="12">
        <v>257</v>
      </c>
      <c r="Q988" s="12">
        <v>3</v>
      </c>
      <c r="R988" s="13" t="s">
        <v>300</v>
      </c>
      <c r="S988" s="13"/>
      <c r="T988" s="15">
        <v>2500</v>
      </c>
      <c r="U988" s="13" t="s">
        <v>52</v>
      </c>
      <c r="V988" s="13" t="s">
        <v>59</v>
      </c>
      <c r="W988" s="12">
        <v>10</v>
      </c>
      <c r="X988" s="33" t="str">
        <f>HYPERLINK("https://www.alpinabook.ru/catalog/book-idol-zashchishchaysya","ссылка на книгу")</f>
        <v>ссылка на книгу</v>
      </c>
      <c r="Y988" s="34" t="str">
        <f>HYPERLINK("https://api-enni.alpina.ru/FilePrivilegesApproval/171","https://api-enni.alpina.ru/FilePrivilegesApproval/171")</f>
        <v>https://api-enni.alpina.ru/FilePrivilegesApproval/171</v>
      </c>
      <c r="Z988" s="13"/>
      <c r="AT988" s="1">
        <f t="shared" si="153"/>
        <v>0</v>
      </c>
      <c r="AU988" s="1">
        <f t="shared" si="154"/>
        <v>0</v>
      </c>
      <c r="AV988" s="1">
        <f t="shared" si="155"/>
        <v>0</v>
      </c>
      <c r="AW988" s="1">
        <f t="shared" si="156"/>
        <v>0</v>
      </c>
      <c r="AX988" s="1">
        <f t="shared" si="157"/>
        <v>0</v>
      </c>
    </row>
    <row r="989" spans="1:50" s="1" customFormat="1" ht="24.95" customHeight="1" outlineLevel="3" x14ac:dyDescent="0.2">
      <c r="A989" s="11"/>
      <c r="B989" s="12">
        <v>790</v>
      </c>
      <c r="C989" s="15">
        <v>1190</v>
      </c>
      <c r="D989" s="12">
        <v>27655</v>
      </c>
      <c r="E989" s="13" t="s">
        <v>90</v>
      </c>
      <c r="F989" s="13" t="s">
        <v>3247</v>
      </c>
      <c r="G989" s="13" t="s">
        <v>86</v>
      </c>
      <c r="H989" s="13"/>
      <c r="I989" s="12">
        <v>2024</v>
      </c>
      <c r="J989" s="13" t="s">
        <v>3248</v>
      </c>
      <c r="K989" s="12">
        <v>9785001399414</v>
      </c>
      <c r="L989" s="13" t="s">
        <v>3249</v>
      </c>
      <c r="M989" s="12">
        <v>535</v>
      </c>
      <c r="N989" s="14">
        <v>0.67</v>
      </c>
      <c r="O989" s="12">
        <v>170</v>
      </c>
      <c r="P989" s="12">
        <v>240</v>
      </c>
      <c r="Q989" s="12">
        <v>4</v>
      </c>
      <c r="R989" s="13" t="s">
        <v>94</v>
      </c>
      <c r="S989" s="13"/>
      <c r="T989" s="15">
        <v>1500</v>
      </c>
      <c r="U989" s="13" t="s">
        <v>44</v>
      </c>
      <c r="V989" s="13" t="s">
        <v>64</v>
      </c>
      <c r="W989" s="12">
        <v>10</v>
      </c>
      <c r="X989" s="33" t="str">
        <f>HYPERLINK("https://www.alpinabook.ru/catalog/book-izobreteno-v-rossii","ссылка на книгу")</f>
        <v>ссылка на книгу</v>
      </c>
      <c r="Y989" s="34" t="str">
        <f>HYPERLINK("https://api-enni.alpina.ru/FilePrivilegesApproval/207","https://api-enni.alpina.ru/FilePrivilegesApproval/207")</f>
        <v>https://api-enni.alpina.ru/FilePrivilegesApproval/207</v>
      </c>
      <c r="Z989" s="13"/>
      <c r="AT989" s="1">
        <f t="shared" si="153"/>
        <v>0</v>
      </c>
      <c r="AU989" s="1">
        <f t="shared" si="154"/>
        <v>0</v>
      </c>
      <c r="AV989" s="1">
        <f t="shared" si="155"/>
        <v>0</v>
      </c>
      <c r="AW989" s="1">
        <f t="shared" si="156"/>
        <v>0</v>
      </c>
      <c r="AX989" s="1">
        <f t="shared" si="157"/>
        <v>0</v>
      </c>
    </row>
    <row r="990" spans="1:50" s="1" customFormat="1" ht="24.95" customHeight="1" outlineLevel="3" x14ac:dyDescent="0.2">
      <c r="A990" s="11"/>
      <c r="B990" s="12">
        <v>990</v>
      </c>
      <c r="C990" s="15">
        <v>1490</v>
      </c>
      <c r="D990" s="12">
        <v>33473</v>
      </c>
      <c r="E990" s="13" t="s">
        <v>90</v>
      </c>
      <c r="F990" s="13" t="s">
        <v>91</v>
      </c>
      <c r="G990" s="13" t="s">
        <v>86</v>
      </c>
      <c r="H990" s="13"/>
      <c r="I990" s="12">
        <v>2025</v>
      </c>
      <c r="J990" s="13" t="s">
        <v>92</v>
      </c>
      <c r="K990" s="12">
        <v>9785002235773</v>
      </c>
      <c r="L990" s="13" t="s">
        <v>93</v>
      </c>
      <c r="M990" s="12">
        <v>515</v>
      </c>
      <c r="N990" s="14">
        <v>0.69</v>
      </c>
      <c r="O990" s="12">
        <v>170</v>
      </c>
      <c r="P990" s="12">
        <v>240</v>
      </c>
      <c r="Q990" s="12">
        <v>5</v>
      </c>
      <c r="R990" s="13" t="s">
        <v>94</v>
      </c>
      <c r="S990" s="13"/>
      <c r="T990" s="15">
        <v>1500</v>
      </c>
      <c r="U990" s="13" t="s">
        <v>52</v>
      </c>
      <c r="V990" s="13" t="s">
        <v>59</v>
      </c>
      <c r="W990" s="12">
        <v>10</v>
      </c>
      <c r="X990" s="33" t="str">
        <f>HYPERLINK("https://www.alpinabook.ru/catalog/book-izobreteno-v-sssr","ссылка на книгу")</f>
        <v>ссылка на книгу</v>
      </c>
      <c r="Y990" s="34" t="str">
        <f>HYPERLINK("https://api-enni.alpina.ru/FilePrivilegesApproval/14","https://api-enni.alpina.ru/FilePrivilegesApproval/14")</f>
        <v>https://api-enni.alpina.ru/FilePrivilegesApproval/14</v>
      </c>
      <c r="Z990" s="13" t="s">
        <v>83</v>
      </c>
      <c r="AT990" s="1">
        <f t="shared" si="153"/>
        <v>0</v>
      </c>
      <c r="AU990" s="1">
        <f t="shared" si="154"/>
        <v>0</v>
      </c>
      <c r="AV990" s="1">
        <f t="shared" si="155"/>
        <v>0</v>
      </c>
      <c r="AW990" s="1">
        <f t="shared" si="156"/>
        <v>0</v>
      </c>
      <c r="AX990" s="1">
        <f t="shared" si="157"/>
        <v>0</v>
      </c>
    </row>
    <row r="991" spans="1:50" s="1" customFormat="1" ht="24.95" customHeight="1" outlineLevel="3" x14ac:dyDescent="0.2">
      <c r="A991" s="11"/>
      <c r="B991" s="12">
        <v>840</v>
      </c>
      <c r="C991" s="15">
        <v>1290</v>
      </c>
      <c r="D991" s="12">
        <v>26370</v>
      </c>
      <c r="E991" s="13" t="s">
        <v>3250</v>
      </c>
      <c r="F991" s="13" t="s">
        <v>3251</v>
      </c>
      <c r="G991" s="13" t="s">
        <v>86</v>
      </c>
      <c r="H991" s="13" t="s">
        <v>40</v>
      </c>
      <c r="I991" s="12">
        <v>2025</v>
      </c>
      <c r="J991" s="13" t="s">
        <v>3252</v>
      </c>
      <c r="K991" s="12">
        <v>9785001397588</v>
      </c>
      <c r="L991" s="13" t="s">
        <v>3253</v>
      </c>
      <c r="M991" s="12">
        <v>384</v>
      </c>
      <c r="N991" s="14">
        <v>0.43</v>
      </c>
      <c r="O991" s="12">
        <v>150</v>
      </c>
      <c r="P991" s="12">
        <v>220</v>
      </c>
      <c r="Q991" s="12">
        <v>8</v>
      </c>
      <c r="R991" s="13" t="s">
        <v>43</v>
      </c>
      <c r="S991" s="13" t="s">
        <v>178</v>
      </c>
      <c r="T991" s="15">
        <v>2000</v>
      </c>
      <c r="U991" s="13" t="s">
        <v>52</v>
      </c>
      <c r="V991" s="13" t="s">
        <v>269</v>
      </c>
      <c r="W991" s="12">
        <v>10</v>
      </c>
      <c r="X991" s="33" t="str">
        <f>HYPERLINK("https://www.alpinabook.ru/catalog/book-imperii-normannov","ссылка на книгу")</f>
        <v>ссылка на книгу</v>
      </c>
      <c r="Y991" s="34" t="str">
        <f>HYPERLINK("https://api-enni.alpina.ru/FilePrivilegesApproval/377","https://api-enni.alpina.ru/FilePrivilegesApproval/377")</f>
        <v>https://api-enni.alpina.ru/FilePrivilegesApproval/377</v>
      </c>
      <c r="Z991" s="13" t="s">
        <v>46</v>
      </c>
      <c r="AT991" s="1">
        <f t="shared" si="153"/>
        <v>0</v>
      </c>
      <c r="AU991" s="1">
        <f t="shared" si="154"/>
        <v>0</v>
      </c>
      <c r="AV991" s="1">
        <f t="shared" si="155"/>
        <v>0</v>
      </c>
      <c r="AW991" s="1">
        <f t="shared" si="156"/>
        <v>0</v>
      </c>
      <c r="AX991" s="1">
        <f t="shared" si="157"/>
        <v>0</v>
      </c>
    </row>
    <row r="992" spans="1:50" s="1" customFormat="1" ht="24.95" customHeight="1" outlineLevel="3" x14ac:dyDescent="0.2">
      <c r="A992" s="11"/>
      <c r="B992" s="12">
        <v>790</v>
      </c>
      <c r="C992" s="15">
        <v>1190</v>
      </c>
      <c r="D992" s="12">
        <v>17153</v>
      </c>
      <c r="E992" s="13" t="s">
        <v>3254</v>
      </c>
      <c r="F992" s="13" t="s">
        <v>3255</v>
      </c>
      <c r="G992" s="13" t="s">
        <v>86</v>
      </c>
      <c r="H992" s="13" t="s">
        <v>40</v>
      </c>
      <c r="I992" s="12">
        <v>2021</v>
      </c>
      <c r="J992" s="13" t="s">
        <v>3256</v>
      </c>
      <c r="K992" s="12">
        <v>9785001394266</v>
      </c>
      <c r="L992" s="13" t="s">
        <v>3257</v>
      </c>
      <c r="M992" s="12">
        <v>508</v>
      </c>
      <c r="N992" s="14">
        <v>0.56999999999999995</v>
      </c>
      <c r="O992" s="12">
        <v>146</v>
      </c>
      <c r="P992" s="12">
        <v>216</v>
      </c>
      <c r="Q992" s="12">
        <v>8</v>
      </c>
      <c r="R992" s="13" t="s">
        <v>43</v>
      </c>
      <c r="S992" s="13"/>
      <c r="T992" s="15">
        <v>3000</v>
      </c>
      <c r="U992" s="13" t="s">
        <v>52</v>
      </c>
      <c r="V992" s="13" t="s">
        <v>269</v>
      </c>
      <c r="W992" s="12">
        <v>10</v>
      </c>
      <c r="X992" s="33" t="str">
        <f>HYPERLINK("https://www.alpinabook.ru/catalog/book-699558","ссылка на книгу")</f>
        <v>ссылка на книгу</v>
      </c>
      <c r="Y992" s="34" t="str">
        <f>HYPERLINK("https://api-enni.alpina.ru/FilePrivilegesApproval/149","https://api-enni.alpina.ru/FilePrivilegesApproval/149")</f>
        <v>https://api-enni.alpina.ru/FilePrivilegesApproval/149</v>
      </c>
      <c r="Z992" s="13"/>
      <c r="AT992" s="1">
        <f t="shared" si="153"/>
        <v>0</v>
      </c>
      <c r="AU992" s="1">
        <f t="shared" si="154"/>
        <v>0</v>
      </c>
      <c r="AV992" s="1">
        <f t="shared" si="155"/>
        <v>0</v>
      </c>
      <c r="AW992" s="1">
        <f t="shared" si="156"/>
        <v>0</v>
      </c>
      <c r="AX992" s="1">
        <f t="shared" si="157"/>
        <v>0</v>
      </c>
    </row>
    <row r="993" spans="1:50" s="1" customFormat="1" ht="24.95" customHeight="1" outlineLevel="3" x14ac:dyDescent="0.2">
      <c r="A993" s="11"/>
      <c r="B993" s="12">
        <v>790</v>
      </c>
      <c r="C993" s="15">
        <v>1190</v>
      </c>
      <c r="D993" s="12">
        <v>11714</v>
      </c>
      <c r="E993" s="13" t="s">
        <v>2324</v>
      </c>
      <c r="F993" s="13" t="s">
        <v>3258</v>
      </c>
      <c r="G993" s="13" t="s">
        <v>56</v>
      </c>
      <c r="H993" s="13"/>
      <c r="I993" s="12">
        <v>2025</v>
      </c>
      <c r="J993" s="13" t="s">
        <v>3259</v>
      </c>
      <c r="K993" s="12">
        <v>9785961421866</v>
      </c>
      <c r="L993" s="13" t="s">
        <v>3260</v>
      </c>
      <c r="M993" s="12">
        <v>920</v>
      </c>
      <c r="N993" s="14">
        <v>0.88</v>
      </c>
      <c r="O993" s="12">
        <v>150</v>
      </c>
      <c r="P993" s="12">
        <v>210</v>
      </c>
      <c r="Q993" s="12">
        <v>3</v>
      </c>
      <c r="R993" s="13" t="s">
        <v>43</v>
      </c>
      <c r="S993" s="13"/>
      <c r="T993" s="15">
        <v>1500</v>
      </c>
      <c r="U993" s="13" t="s">
        <v>44</v>
      </c>
      <c r="V993" s="13" t="s">
        <v>89</v>
      </c>
      <c r="W993" s="12">
        <v>10</v>
      </c>
      <c r="X993" s="33" t="str">
        <f>HYPERLINK("https://www.alpinabook.ru/catalog/book-imperiya-dolzhna-umeret","ссылка на книгу")</f>
        <v>ссылка на книгу</v>
      </c>
      <c r="Y993" s="34" t="str">
        <f>HYPERLINK("https://api-enni.alpina.ru/FilePrivilegesApproval/141","https://api-enni.alpina.ru/FilePrivilegesApproval/141")</f>
        <v>https://api-enni.alpina.ru/FilePrivilegesApproval/141</v>
      </c>
      <c r="Z993" s="13"/>
      <c r="AT993" s="1">
        <f t="shared" si="153"/>
        <v>0</v>
      </c>
      <c r="AU993" s="1">
        <f t="shared" si="154"/>
        <v>0</v>
      </c>
      <c r="AV993" s="1">
        <f t="shared" si="155"/>
        <v>0</v>
      </c>
      <c r="AW993" s="1">
        <f t="shared" si="156"/>
        <v>0</v>
      </c>
      <c r="AX993" s="1">
        <f t="shared" si="157"/>
        <v>0</v>
      </c>
    </row>
    <row r="994" spans="1:50" s="1" customFormat="1" ht="24.95" customHeight="1" outlineLevel="3" x14ac:dyDescent="0.2">
      <c r="A994" s="11"/>
      <c r="B994" s="12">
        <v>840</v>
      </c>
      <c r="C994" s="15">
        <v>1190</v>
      </c>
      <c r="D994" s="12">
        <v>24415</v>
      </c>
      <c r="E994" s="13" t="s">
        <v>3261</v>
      </c>
      <c r="F994" s="13" t="s">
        <v>3262</v>
      </c>
      <c r="G994" s="13" t="s">
        <v>86</v>
      </c>
      <c r="H994" s="13" t="s">
        <v>40</v>
      </c>
      <c r="I994" s="12">
        <v>2025</v>
      </c>
      <c r="J994" s="13" t="s">
        <v>3263</v>
      </c>
      <c r="K994" s="12">
        <v>9785002233717</v>
      </c>
      <c r="L994" s="13" t="s">
        <v>3264</v>
      </c>
      <c r="M994" s="12">
        <v>528</v>
      </c>
      <c r="N994" s="14">
        <v>0.57999999999999996</v>
      </c>
      <c r="O994" s="12">
        <v>150</v>
      </c>
      <c r="P994" s="12">
        <v>220</v>
      </c>
      <c r="Q994" s="12">
        <v>8</v>
      </c>
      <c r="R994" s="13" t="s">
        <v>43</v>
      </c>
      <c r="S994" s="13"/>
      <c r="T994" s="15">
        <v>2500</v>
      </c>
      <c r="U994" s="13" t="s">
        <v>52</v>
      </c>
      <c r="V994" s="13" t="s">
        <v>89</v>
      </c>
      <c r="W994" s="12">
        <v>10</v>
      </c>
      <c r="X994" s="33" t="str">
        <f>HYPERLINK("https://www.alpinabook.ru/catalog/book-imperiya-istrebleniya","ссылка на книгу")</f>
        <v>ссылка на книгу</v>
      </c>
      <c r="Y994" s="34" t="str">
        <f>HYPERLINK("https://api-enni.alpina.ru/FilePrivilegesApproval/733","https://api-enni.alpina.ru/FilePrivilegesApproval/733")</f>
        <v>https://api-enni.alpina.ru/FilePrivilegesApproval/733</v>
      </c>
      <c r="Z994" s="13"/>
      <c r="AT994" s="1">
        <f t="shared" si="153"/>
        <v>0</v>
      </c>
      <c r="AU994" s="1">
        <f t="shared" si="154"/>
        <v>0</v>
      </c>
      <c r="AV994" s="1">
        <f t="shared" si="155"/>
        <v>0</v>
      </c>
      <c r="AW994" s="1">
        <f t="shared" si="156"/>
        <v>0</v>
      </c>
      <c r="AX994" s="1">
        <f t="shared" si="157"/>
        <v>0</v>
      </c>
    </row>
    <row r="995" spans="1:50" s="1" customFormat="1" ht="24.95" customHeight="1" outlineLevel="3" x14ac:dyDescent="0.2">
      <c r="A995" s="11"/>
      <c r="B995" s="12">
        <v>790</v>
      </c>
      <c r="C995" s="15">
        <v>1190</v>
      </c>
      <c r="D995" s="12">
        <v>28623</v>
      </c>
      <c r="E995" s="13" t="s">
        <v>3265</v>
      </c>
      <c r="F995" s="13" t="s">
        <v>3266</v>
      </c>
      <c r="G995" s="13" t="s">
        <v>86</v>
      </c>
      <c r="H995" s="13" t="s">
        <v>40</v>
      </c>
      <c r="I995" s="12">
        <v>2025</v>
      </c>
      <c r="J995" s="13" t="s">
        <v>3267</v>
      </c>
      <c r="K995" s="12">
        <v>9785002230068</v>
      </c>
      <c r="L995" s="13" t="s">
        <v>3268</v>
      </c>
      <c r="M995" s="12">
        <v>448</v>
      </c>
      <c r="N995" s="14">
        <v>0.48</v>
      </c>
      <c r="O995" s="12">
        <v>150</v>
      </c>
      <c r="P995" s="12">
        <v>220</v>
      </c>
      <c r="Q995" s="12">
        <v>8</v>
      </c>
      <c r="R995" s="13" t="s">
        <v>43</v>
      </c>
      <c r="S995" s="13"/>
      <c r="T995" s="15">
        <v>4000</v>
      </c>
      <c r="U995" s="13" t="s">
        <v>52</v>
      </c>
      <c r="V995" s="13" t="s">
        <v>45</v>
      </c>
      <c r="W995" s="12">
        <v>10</v>
      </c>
      <c r="X995" s="33" t="str">
        <f>HYPERLINK("https://www.alpinabook.ru/catalog/book-istoki-vtoroy-mirovoy-voyny","ссылка на книгу")</f>
        <v>ссылка на книгу</v>
      </c>
      <c r="Y995" s="34" t="str">
        <f>HYPERLINK("https://api-enni.alpina.ru/FilePrivilegesApproval/802","https://api-enni.alpina.ru/FilePrivilegesApproval/802")</f>
        <v>https://api-enni.alpina.ru/FilePrivilegesApproval/802</v>
      </c>
      <c r="Z995" s="13"/>
      <c r="AT995" s="1">
        <f t="shared" si="153"/>
        <v>0</v>
      </c>
      <c r="AU995" s="1">
        <f t="shared" si="154"/>
        <v>0</v>
      </c>
      <c r="AV995" s="1">
        <f t="shared" si="155"/>
        <v>0</v>
      </c>
      <c r="AW995" s="1">
        <f t="shared" si="156"/>
        <v>0</v>
      </c>
      <c r="AX995" s="1">
        <f t="shared" si="157"/>
        <v>0</v>
      </c>
    </row>
    <row r="996" spans="1:50" s="1" customFormat="1" ht="24.95" customHeight="1" outlineLevel="3" x14ac:dyDescent="0.2">
      <c r="A996" s="11"/>
      <c r="B996" s="12">
        <v>690</v>
      </c>
      <c r="C996" s="12">
        <v>990</v>
      </c>
      <c r="D996" s="12">
        <v>31548</v>
      </c>
      <c r="E996" s="13" t="s">
        <v>3269</v>
      </c>
      <c r="F996" s="13" t="s">
        <v>3270</v>
      </c>
      <c r="G996" s="13" t="s">
        <v>86</v>
      </c>
      <c r="H996" s="13" t="s">
        <v>40</v>
      </c>
      <c r="I996" s="12">
        <v>2025</v>
      </c>
      <c r="J996" s="13" t="s">
        <v>3271</v>
      </c>
      <c r="K996" s="12">
        <v>9785002233946</v>
      </c>
      <c r="L996" s="13" t="s">
        <v>3272</v>
      </c>
      <c r="M996" s="12">
        <v>324</v>
      </c>
      <c r="N996" s="14">
        <v>0.28999999999999998</v>
      </c>
      <c r="O996" s="12">
        <v>150</v>
      </c>
      <c r="P996" s="12">
        <v>210</v>
      </c>
      <c r="Q996" s="12">
        <v>10</v>
      </c>
      <c r="R996" s="13" t="s">
        <v>43</v>
      </c>
      <c r="S996" s="13" t="s">
        <v>3220</v>
      </c>
      <c r="T996" s="15">
        <v>2000</v>
      </c>
      <c r="U996" s="13" t="s">
        <v>44</v>
      </c>
      <c r="V996" s="13" t="s">
        <v>45</v>
      </c>
      <c r="W996" s="12">
        <v>10</v>
      </c>
      <c r="X996" s="33" t="str">
        <f>HYPERLINK("https://www.alpinabook.ru/catalog/book-istoriya-piratstva","ссылка на книгу")</f>
        <v>ссылка на книгу</v>
      </c>
      <c r="Y996" s="34" t="str">
        <f>HYPERLINK("https://api-enni.alpina.ru/FilePrivilegesApproval/687","https://api-enni.alpina.ru/FilePrivilegesApproval/687")</f>
        <v>https://api-enni.alpina.ru/FilePrivilegesApproval/687</v>
      </c>
      <c r="Z996" s="13" t="s">
        <v>295</v>
      </c>
      <c r="AT996" s="1">
        <f t="shared" si="153"/>
        <v>0</v>
      </c>
      <c r="AU996" s="1">
        <f t="shared" si="154"/>
        <v>0</v>
      </c>
      <c r="AV996" s="1">
        <f t="shared" si="155"/>
        <v>0</v>
      </c>
      <c r="AW996" s="1">
        <f t="shared" si="156"/>
        <v>0</v>
      </c>
      <c r="AX996" s="1">
        <f t="shared" si="157"/>
        <v>0</v>
      </c>
    </row>
    <row r="997" spans="1:50" s="1" customFormat="1" ht="24.95" customHeight="1" outlineLevel="3" x14ac:dyDescent="0.2">
      <c r="A997" s="26"/>
      <c r="B997" s="28">
        <v>4230</v>
      </c>
      <c r="C997" s="28">
        <v>4290</v>
      </c>
      <c r="D997" s="27">
        <v>29853</v>
      </c>
      <c r="E997" s="29"/>
      <c r="F997" s="29" t="s">
        <v>3273</v>
      </c>
      <c r="G997" s="29" t="s">
        <v>86</v>
      </c>
      <c r="H997" s="29"/>
      <c r="I997" s="27">
        <v>2023</v>
      </c>
      <c r="J997" s="29" t="s">
        <v>3274</v>
      </c>
      <c r="K997" s="27">
        <v>9785002231973</v>
      </c>
      <c r="L997" s="29" t="s">
        <v>3275</v>
      </c>
      <c r="M997" s="29"/>
      <c r="N997" s="26"/>
      <c r="O997" s="26"/>
      <c r="P997" s="26"/>
      <c r="Q997" s="29"/>
      <c r="R997" s="29"/>
      <c r="S997" s="29"/>
      <c r="T997" s="29"/>
      <c r="U997" s="29"/>
      <c r="V997" s="29" t="s">
        <v>59</v>
      </c>
      <c r="W997" s="27">
        <v>10</v>
      </c>
      <c r="X997" s="37" t="str">
        <f>HYPERLINK("https://www.alpinabook.ru/catalog/book-istoriya-srednevekovya-v-obrazakh-i-simvolakh","ссылка на книгу")</f>
        <v>ссылка на книгу</v>
      </c>
      <c r="Y997" s="38" t="str">
        <f>HYPERLINK("","")</f>
        <v/>
      </c>
      <c r="Z997" s="29"/>
      <c r="AT997" s="1">
        <f t="shared" ref="AT997:AT1028" si="158">IF($A997&lt;&gt;0,1,0)</f>
        <v>0</v>
      </c>
      <c r="AU997" s="1">
        <f t="shared" ref="AU997:AU1028" si="159">$A997*$B997</f>
        <v>0</v>
      </c>
      <c r="AV997" s="1">
        <f t="shared" ref="AV997:AV1028" si="160">$A997*$N997</f>
        <v>0</v>
      </c>
      <c r="AW997" s="1">
        <f t="shared" ref="AW997:AW1028" si="161">IF($Q997=0,0,INT($A997/$Q997))</f>
        <v>0</v>
      </c>
      <c r="AX997" s="1">
        <f t="shared" ref="AX997:AX1028" si="162">$A997-$AW997*$Q997</f>
        <v>0</v>
      </c>
    </row>
    <row r="998" spans="1:50" s="1" customFormat="1" ht="24.95" customHeight="1" outlineLevel="3" x14ac:dyDescent="0.2">
      <c r="A998" s="11"/>
      <c r="B998" s="15">
        <v>1090</v>
      </c>
      <c r="C998" s="15">
        <v>1390</v>
      </c>
      <c r="D998" s="12">
        <v>24048</v>
      </c>
      <c r="E998" s="13" t="s">
        <v>3276</v>
      </c>
      <c r="F998" s="13" t="s">
        <v>3277</v>
      </c>
      <c r="G998" s="13" t="s">
        <v>86</v>
      </c>
      <c r="H998" s="13" t="s">
        <v>40</v>
      </c>
      <c r="I998" s="12">
        <v>2025</v>
      </c>
      <c r="J998" s="13" t="s">
        <v>3278</v>
      </c>
      <c r="K998" s="12">
        <v>9785001399186</v>
      </c>
      <c r="L998" s="13" t="s">
        <v>3279</v>
      </c>
      <c r="M998" s="12">
        <v>482</v>
      </c>
      <c r="N998" s="14">
        <v>0.68</v>
      </c>
      <c r="O998" s="12">
        <v>170</v>
      </c>
      <c r="P998" s="12">
        <v>240</v>
      </c>
      <c r="Q998" s="12">
        <v>4</v>
      </c>
      <c r="R998" s="13" t="s">
        <v>94</v>
      </c>
      <c r="S998" s="13"/>
      <c r="T998" s="15">
        <v>2000</v>
      </c>
      <c r="U998" s="13" t="s">
        <v>52</v>
      </c>
      <c r="V998" s="13" t="s">
        <v>45</v>
      </c>
      <c r="W998" s="12">
        <v>10</v>
      </c>
      <c r="X998" s="33" t="str">
        <f>HYPERLINK("https://www.alpinabook.ru/catalog/book-konkistadory","ссылка на книгу")</f>
        <v>ссылка на книгу</v>
      </c>
      <c r="Y998" s="34" t="str">
        <f>HYPERLINK("https://api-enni.alpina.ru/FilePrivilegesApproval/506","https://api-enni.alpina.ru/FilePrivilegesApproval/506")</f>
        <v>https://api-enni.alpina.ru/FilePrivilegesApproval/506</v>
      </c>
      <c r="Z998" s="13" t="s">
        <v>1413</v>
      </c>
      <c r="AT998" s="1">
        <f t="shared" si="158"/>
        <v>0</v>
      </c>
      <c r="AU998" s="1">
        <f t="shared" si="159"/>
        <v>0</v>
      </c>
      <c r="AV998" s="1">
        <f t="shared" si="160"/>
        <v>0</v>
      </c>
      <c r="AW998" s="1">
        <f t="shared" si="161"/>
        <v>0</v>
      </c>
      <c r="AX998" s="1">
        <f t="shared" si="162"/>
        <v>0</v>
      </c>
    </row>
    <row r="999" spans="1:50" s="1" customFormat="1" ht="24.95" customHeight="1" outlineLevel="3" x14ac:dyDescent="0.2">
      <c r="A999" s="11"/>
      <c r="B999" s="12">
        <v>690</v>
      </c>
      <c r="C999" s="12">
        <v>990</v>
      </c>
      <c r="D999" s="12">
        <v>19420</v>
      </c>
      <c r="E999" s="13" t="s">
        <v>3280</v>
      </c>
      <c r="F999" s="13" t="s">
        <v>3281</v>
      </c>
      <c r="G999" s="13" t="s">
        <v>86</v>
      </c>
      <c r="H999" s="13" t="s">
        <v>40</v>
      </c>
      <c r="I999" s="12">
        <v>2023</v>
      </c>
      <c r="J999" s="13" t="s">
        <v>3282</v>
      </c>
      <c r="K999" s="12">
        <v>9785001398189</v>
      </c>
      <c r="L999" s="13" t="s">
        <v>3283</v>
      </c>
      <c r="M999" s="12">
        <v>264</v>
      </c>
      <c r="N999" s="14">
        <v>0.4</v>
      </c>
      <c r="O999" s="12">
        <v>146</v>
      </c>
      <c r="P999" s="12">
        <v>216</v>
      </c>
      <c r="Q999" s="12">
        <v>14</v>
      </c>
      <c r="R999" s="13" t="s">
        <v>43</v>
      </c>
      <c r="S999" s="13"/>
      <c r="T999" s="15">
        <v>3000</v>
      </c>
      <c r="U999" s="13" t="s">
        <v>52</v>
      </c>
      <c r="V999" s="13" t="s">
        <v>45</v>
      </c>
      <c r="W999" s="12">
        <v>10</v>
      </c>
      <c r="X999" s="33" t="str">
        <f>HYPERLINK("https://www.alpinabook.ru/catalog/book-konrad-morgen","ссылка на книгу")</f>
        <v>ссылка на книгу</v>
      </c>
      <c r="Y999" s="34" t="str">
        <f>HYPERLINK("https://api-enni.alpina.ru/FilePrivilegesApproval/171","https://api-enni.alpina.ru/FilePrivilegesApproval/171")</f>
        <v>https://api-enni.alpina.ru/FilePrivilegesApproval/171</v>
      </c>
      <c r="Z999" s="13"/>
      <c r="AT999" s="1">
        <f t="shared" si="158"/>
        <v>0</v>
      </c>
      <c r="AU999" s="1">
        <f t="shared" si="159"/>
        <v>0</v>
      </c>
      <c r="AV999" s="1">
        <f t="shared" si="160"/>
        <v>0</v>
      </c>
      <c r="AW999" s="1">
        <f t="shared" si="161"/>
        <v>0</v>
      </c>
      <c r="AX999" s="1">
        <f t="shared" si="162"/>
        <v>0</v>
      </c>
    </row>
    <row r="1000" spans="1:50" s="1" customFormat="1" ht="24.95" customHeight="1" outlineLevel="3" x14ac:dyDescent="0.2">
      <c r="A1000" s="11"/>
      <c r="B1000" s="12">
        <v>690</v>
      </c>
      <c r="C1000" s="12">
        <v>990</v>
      </c>
      <c r="D1000" s="12">
        <v>21054</v>
      </c>
      <c r="E1000" s="13" t="s">
        <v>3284</v>
      </c>
      <c r="F1000" s="13" t="s">
        <v>3285</v>
      </c>
      <c r="G1000" s="13" t="s">
        <v>86</v>
      </c>
      <c r="H1000" s="13" t="s">
        <v>40</v>
      </c>
      <c r="I1000" s="12">
        <v>2023</v>
      </c>
      <c r="J1000" s="13" t="s">
        <v>3286</v>
      </c>
      <c r="K1000" s="12">
        <v>9785001398059</v>
      </c>
      <c r="L1000" s="13" t="s">
        <v>3287</v>
      </c>
      <c r="M1000" s="12">
        <v>392</v>
      </c>
      <c r="N1000" s="14">
        <v>0.56000000000000005</v>
      </c>
      <c r="O1000" s="12">
        <v>150</v>
      </c>
      <c r="P1000" s="12">
        <v>220</v>
      </c>
      <c r="Q1000" s="12">
        <v>10</v>
      </c>
      <c r="R1000" s="13" t="s">
        <v>43</v>
      </c>
      <c r="S1000" s="13"/>
      <c r="T1000" s="15">
        <v>3000</v>
      </c>
      <c r="U1000" s="13" t="s">
        <v>52</v>
      </c>
      <c r="V1000" s="13" t="s">
        <v>45</v>
      </c>
      <c r="W1000" s="12">
        <v>10</v>
      </c>
      <c r="X1000" s="33" t="str">
        <f>HYPERLINK("https://www.alpinabook.ru/catalog/book-korabli-prizraki","ссылка на книгу")</f>
        <v>ссылка на книгу</v>
      </c>
      <c r="Y1000" s="34" t="str">
        <f>HYPERLINK("https://api-enni.alpina.ru/FilePrivilegesApproval/171","https://api-enni.alpina.ru/FilePrivilegesApproval/171")</f>
        <v>https://api-enni.alpina.ru/FilePrivilegesApproval/171</v>
      </c>
      <c r="Z1000" s="13"/>
      <c r="AT1000" s="1">
        <f t="shared" si="158"/>
        <v>0</v>
      </c>
      <c r="AU1000" s="1">
        <f t="shared" si="159"/>
        <v>0</v>
      </c>
      <c r="AV1000" s="1">
        <f t="shared" si="160"/>
        <v>0</v>
      </c>
      <c r="AW1000" s="1">
        <f t="shared" si="161"/>
        <v>0</v>
      </c>
      <c r="AX1000" s="1">
        <f t="shared" si="162"/>
        <v>0</v>
      </c>
    </row>
    <row r="1001" spans="1:50" s="1" customFormat="1" ht="24.95" customHeight="1" outlineLevel="3" x14ac:dyDescent="0.2">
      <c r="A1001" s="11"/>
      <c r="B1001" s="12">
        <v>890</v>
      </c>
      <c r="C1001" s="15">
        <v>1290</v>
      </c>
      <c r="D1001" s="12">
        <v>17403</v>
      </c>
      <c r="E1001" s="13" t="s">
        <v>493</v>
      </c>
      <c r="F1001" s="13" t="s">
        <v>494</v>
      </c>
      <c r="G1001" s="13" t="s">
        <v>86</v>
      </c>
      <c r="H1001" s="13" t="s">
        <v>40</v>
      </c>
      <c r="I1001" s="12">
        <v>2024</v>
      </c>
      <c r="J1001" s="13" t="s">
        <v>495</v>
      </c>
      <c r="K1001" s="12">
        <v>9785916719611</v>
      </c>
      <c r="L1001" s="13" t="s">
        <v>496</v>
      </c>
      <c r="M1001" s="12">
        <v>484</v>
      </c>
      <c r="N1001" s="14">
        <v>0.73</v>
      </c>
      <c r="O1001" s="12">
        <v>146</v>
      </c>
      <c r="P1001" s="12">
        <v>216</v>
      </c>
      <c r="Q1001" s="12">
        <v>8</v>
      </c>
      <c r="R1001" s="13" t="s">
        <v>43</v>
      </c>
      <c r="S1001" s="13"/>
      <c r="T1001" s="15">
        <v>1500</v>
      </c>
      <c r="U1001" s="13" t="s">
        <v>52</v>
      </c>
      <c r="V1001" s="13" t="s">
        <v>45</v>
      </c>
      <c r="W1001" s="12">
        <v>10</v>
      </c>
      <c r="X1001" s="33" t="str">
        <f>HYPERLINK("https://www.alpinabook.ru/catalog/book-kratkaya-istoriya-evropy","ссылка на книгу")</f>
        <v>ссылка на книгу</v>
      </c>
      <c r="Y1001" s="34" t="str">
        <f>HYPERLINK("https://api-enni.alpina.ru/FilePrivilegesApproval/149","https://api-enni.alpina.ru/FilePrivilegesApproval/149")</f>
        <v>https://api-enni.alpina.ru/FilePrivilegesApproval/149</v>
      </c>
      <c r="Z1001" s="13" t="s">
        <v>77</v>
      </c>
      <c r="AT1001" s="1">
        <f t="shared" si="158"/>
        <v>0</v>
      </c>
      <c r="AU1001" s="1">
        <f t="shared" si="159"/>
        <v>0</v>
      </c>
      <c r="AV1001" s="1">
        <f t="shared" si="160"/>
        <v>0</v>
      </c>
      <c r="AW1001" s="1">
        <f t="shared" si="161"/>
        <v>0</v>
      </c>
      <c r="AX1001" s="1">
        <f t="shared" si="162"/>
        <v>0</v>
      </c>
    </row>
    <row r="1002" spans="1:50" s="1" customFormat="1" ht="24.95" customHeight="1" outlineLevel="3" x14ac:dyDescent="0.2">
      <c r="A1002" s="26"/>
      <c r="B1002" s="27">
        <v>590</v>
      </c>
      <c r="C1002" s="27">
        <v>940</v>
      </c>
      <c r="D1002" s="27">
        <v>26815</v>
      </c>
      <c r="E1002" s="29" t="s">
        <v>3207</v>
      </c>
      <c r="F1002" s="29" t="s">
        <v>3288</v>
      </c>
      <c r="G1002" s="29" t="s">
        <v>86</v>
      </c>
      <c r="H1002" s="29"/>
      <c r="I1002" s="27">
        <v>2023</v>
      </c>
      <c r="J1002" s="29" t="s">
        <v>3289</v>
      </c>
      <c r="K1002" s="27">
        <v>9785001398400</v>
      </c>
      <c r="L1002" s="29" t="s">
        <v>3290</v>
      </c>
      <c r="M1002" s="27">
        <v>338</v>
      </c>
      <c r="N1002" s="30">
        <v>0.5</v>
      </c>
      <c r="O1002" s="27">
        <v>150</v>
      </c>
      <c r="P1002" s="27">
        <v>220</v>
      </c>
      <c r="Q1002" s="27">
        <v>12</v>
      </c>
      <c r="R1002" s="29" t="s">
        <v>43</v>
      </c>
      <c r="S1002" s="29"/>
      <c r="T1002" s="28">
        <v>2500</v>
      </c>
      <c r="U1002" s="29" t="s">
        <v>52</v>
      </c>
      <c r="V1002" s="29" t="s">
        <v>89</v>
      </c>
      <c r="W1002" s="27">
        <v>10</v>
      </c>
      <c r="X1002" s="37" t="str">
        <f>HYPERLINK("https://www.alpinabook.ru/catalog/book-krov-i-simvoly","ссылка на книгу")</f>
        <v>ссылка на книгу</v>
      </c>
      <c r="Y1002" s="38" t="str">
        <f>HYPERLINK("https://api-enni.alpina.ru/FilePrivilegesApproval/338","https://api-enni.alpina.ru/FilePrivilegesApproval/338")</f>
        <v>https://api-enni.alpina.ru/FilePrivilegesApproval/338</v>
      </c>
      <c r="Z1002" s="29"/>
      <c r="AT1002" s="1">
        <f t="shared" si="158"/>
        <v>0</v>
      </c>
      <c r="AU1002" s="1">
        <f t="shared" si="159"/>
        <v>0</v>
      </c>
      <c r="AV1002" s="1">
        <f t="shared" si="160"/>
        <v>0</v>
      </c>
      <c r="AW1002" s="1">
        <f t="shared" si="161"/>
        <v>0</v>
      </c>
      <c r="AX1002" s="1">
        <f t="shared" si="162"/>
        <v>0</v>
      </c>
    </row>
    <row r="1003" spans="1:50" s="1" customFormat="1" ht="24.95" customHeight="1" outlineLevel="3" x14ac:dyDescent="0.2">
      <c r="A1003" s="11"/>
      <c r="B1003" s="12">
        <v>940</v>
      </c>
      <c r="C1003" s="15">
        <v>1190</v>
      </c>
      <c r="D1003" s="12">
        <v>5821</v>
      </c>
      <c r="E1003" s="13" t="s">
        <v>3291</v>
      </c>
      <c r="F1003" s="13" t="s">
        <v>3292</v>
      </c>
      <c r="G1003" s="13" t="s">
        <v>86</v>
      </c>
      <c r="H1003" s="13" t="s">
        <v>40</v>
      </c>
      <c r="I1003" s="12">
        <v>2024</v>
      </c>
      <c r="J1003" s="13" t="s">
        <v>3293</v>
      </c>
      <c r="K1003" s="12">
        <v>9785001390008</v>
      </c>
      <c r="L1003" s="13" t="s">
        <v>3294</v>
      </c>
      <c r="M1003" s="12">
        <v>452</v>
      </c>
      <c r="N1003" s="14">
        <v>0.52</v>
      </c>
      <c r="O1003" s="12">
        <v>146</v>
      </c>
      <c r="P1003" s="12">
        <v>216</v>
      </c>
      <c r="Q1003" s="12">
        <v>8</v>
      </c>
      <c r="R1003" s="13" t="s">
        <v>43</v>
      </c>
      <c r="S1003" s="13"/>
      <c r="T1003" s="15">
        <v>1500</v>
      </c>
      <c r="U1003" s="13" t="s">
        <v>52</v>
      </c>
      <c r="V1003" s="13" t="s">
        <v>45</v>
      </c>
      <c r="W1003" s="12">
        <v>10</v>
      </c>
      <c r="X1003" s="33" t="str">
        <f>HYPERLINK("https://www.alpinabook.ru/catalog/book-lyudi-severa","ссылка на книгу")</f>
        <v>ссылка на книгу</v>
      </c>
      <c r="Y1003" s="34" t="str">
        <f>HYPERLINK("https://api-enni.alpina.ru/FilePrivilegesApproval/5","https://api-enni.alpina.ru/FilePrivilegesApproval/5")</f>
        <v>https://api-enni.alpina.ru/FilePrivilegesApproval/5</v>
      </c>
      <c r="Z1003" s="13"/>
      <c r="AT1003" s="1">
        <f t="shared" si="158"/>
        <v>0</v>
      </c>
      <c r="AU1003" s="1">
        <f t="shared" si="159"/>
        <v>0</v>
      </c>
      <c r="AV1003" s="1">
        <f t="shared" si="160"/>
        <v>0</v>
      </c>
      <c r="AW1003" s="1">
        <f t="shared" si="161"/>
        <v>0</v>
      </c>
      <c r="AX1003" s="1">
        <f t="shared" si="162"/>
        <v>0</v>
      </c>
    </row>
    <row r="1004" spans="1:50" s="1" customFormat="1" ht="24.95" customHeight="1" outlineLevel="3" x14ac:dyDescent="0.2">
      <c r="A1004" s="11"/>
      <c r="B1004" s="15">
        <v>1990</v>
      </c>
      <c r="C1004" s="15">
        <v>2490</v>
      </c>
      <c r="D1004" s="12">
        <v>23139</v>
      </c>
      <c r="E1004" s="13" t="s">
        <v>541</v>
      </c>
      <c r="F1004" s="13" t="s">
        <v>542</v>
      </c>
      <c r="G1004" s="13" t="s">
        <v>86</v>
      </c>
      <c r="H1004" s="13"/>
      <c r="I1004" s="12">
        <v>2025</v>
      </c>
      <c r="J1004" s="13" t="s">
        <v>543</v>
      </c>
      <c r="K1004" s="12">
        <v>9785001394785</v>
      </c>
      <c r="L1004" s="13" t="s">
        <v>544</v>
      </c>
      <c r="M1004" s="12">
        <v>240</v>
      </c>
      <c r="N1004" s="14">
        <v>1.24</v>
      </c>
      <c r="O1004" s="12">
        <v>210</v>
      </c>
      <c r="P1004" s="12">
        <v>260</v>
      </c>
      <c r="Q1004" s="12">
        <v>5</v>
      </c>
      <c r="R1004" s="13" t="s">
        <v>300</v>
      </c>
      <c r="S1004" s="13"/>
      <c r="T1004" s="15">
        <v>1000</v>
      </c>
      <c r="U1004" s="13" t="s">
        <v>52</v>
      </c>
      <c r="V1004" s="13" t="s">
        <v>64</v>
      </c>
      <c r="W1004" s="12">
        <v>10</v>
      </c>
      <c r="X1004" s="33" t="str">
        <f>HYPERLINK("https://www.alpinabook.ru/catalog/book-mezhdu-khristom-i-antikhristom","ссылка на книгу")</f>
        <v>ссылка на книгу</v>
      </c>
      <c r="Y1004" s="34" t="str">
        <f>HYPERLINK("https://api-enni.alpina.ru/FilePrivilegesApproval/247","https://api-enni.alpina.ru/FilePrivilegesApproval/247")</f>
        <v>https://api-enni.alpina.ru/FilePrivilegesApproval/247</v>
      </c>
      <c r="Z1004" s="13" t="s">
        <v>545</v>
      </c>
      <c r="AT1004" s="1">
        <f t="shared" si="158"/>
        <v>0</v>
      </c>
      <c r="AU1004" s="1">
        <f t="shared" si="159"/>
        <v>0</v>
      </c>
      <c r="AV1004" s="1">
        <f t="shared" si="160"/>
        <v>0</v>
      </c>
      <c r="AW1004" s="1">
        <f t="shared" si="161"/>
        <v>0</v>
      </c>
      <c r="AX1004" s="1">
        <f t="shared" si="162"/>
        <v>0</v>
      </c>
    </row>
    <row r="1005" spans="1:50" s="1" customFormat="1" ht="24.95" customHeight="1" outlineLevel="3" x14ac:dyDescent="0.2">
      <c r="A1005" s="11"/>
      <c r="B1005" s="12">
        <v>840</v>
      </c>
      <c r="C1005" s="15">
        <v>1290</v>
      </c>
      <c r="D1005" s="12">
        <v>28557</v>
      </c>
      <c r="E1005" s="13" t="s">
        <v>3295</v>
      </c>
      <c r="F1005" s="13" t="s">
        <v>3296</v>
      </c>
      <c r="G1005" s="13" t="s">
        <v>86</v>
      </c>
      <c r="H1005" s="13" t="s">
        <v>40</v>
      </c>
      <c r="I1005" s="12">
        <v>2025</v>
      </c>
      <c r="J1005" s="13" t="s">
        <v>3297</v>
      </c>
      <c r="K1005" s="12">
        <v>9785002230259</v>
      </c>
      <c r="L1005" s="13" t="s">
        <v>3298</v>
      </c>
      <c r="M1005" s="12">
        <v>478</v>
      </c>
      <c r="N1005" s="14">
        <v>0.52</v>
      </c>
      <c r="O1005" s="12">
        <v>150</v>
      </c>
      <c r="P1005" s="12">
        <v>220</v>
      </c>
      <c r="Q1005" s="12">
        <v>8</v>
      </c>
      <c r="R1005" s="13" t="s">
        <v>43</v>
      </c>
      <c r="S1005" s="13"/>
      <c r="T1005" s="15">
        <v>3000</v>
      </c>
      <c r="U1005" s="13" t="s">
        <v>52</v>
      </c>
      <c r="V1005" s="13" t="s">
        <v>89</v>
      </c>
      <c r="W1005" s="12">
        <v>10</v>
      </c>
      <c r="X1005" s="33" t="str">
        <f>HYPERLINK("https://www.alpinabook.ru/catalog/book-messalina","ссылка на книгу")</f>
        <v>ссылка на книгу</v>
      </c>
      <c r="Y1005" s="34" t="str">
        <f>HYPERLINK("https://api-enni.alpina.ru/FilePrivilegesApproval/802","https://api-enni.alpina.ru/FilePrivilegesApproval/802")</f>
        <v>https://api-enni.alpina.ru/FilePrivilegesApproval/802</v>
      </c>
      <c r="Z1005" s="13"/>
      <c r="AT1005" s="1">
        <f t="shared" si="158"/>
        <v>0</v>
      </c>
      <c r="AU1005" s="1">
        <f t="shared" si="159"/>
        <v>0</v>
      </c>
      <c r="AV1005" s="1">
        <f t="shared" si="160"/>
        <v>0</v>
      </c>
      <c r="AW1005" s="1">
        <f t="shared" si="161"/>
        <v>0</v>
      </c>
      <c r="AX1005" s="1">
        <f t="shared" si="162"/>
        <v>0</v>
      </c>
    </row>
    <row r="1006" spans="1:50" s="1" customFormat="1" ht="24.95" customHeight="1" outlineLevel="3" x14ac:dyDescent="0.2">
      <c r="A1006" s="11"/>
      <c r="B1006" s="12">
        <v>640</v>
      </c>
      <c r="C1006" s="12">
        <v>990</v>
      </c>
      <c r="D1006" s="12">
        <v>31279</v>
      </c>
      <c r="E1006" s="13" t="s">
        <v>3207</v>
      </c>
      <c r="F1006" s="13" t="s">
        <v>3299</v>
      </c>
      <c r="G1006" s="13" t="s">
        <v>86</v>
      </c>
      <c r="H1006" s="13"/>
      <c r="I1006" s="12">
        <v>2024</v>
      </c>
      <c r="J1006" s="13" t="s">
        <v>3300</v>
      </c>
      <c r="K1006" s="12">
        <v>9785002233656</v>
      </c>
      <c r="L1006" s="13" t="s">
        <v>3301</v>
      </c>
      <c r="M1006" s="12">
        <v>368</v>
      </c>
      <c r="N1006" s="14">
        <v>0.34</v>
      </c>
      <c r="O1006" s="12">
        <v>140</v>
      </c>
      <c r="P1006" s="12">
        <v>210</v>
      </c>
      <c r="Q1006" s="12">
        <v>4</v>
      </c>
      <c r="R1006" s="13" t="s">
        <v>43</v>
      </c>
      <c r="S1006" s="13"/>
      <c r="T1006" s="15">
        <v>1000</v>
      </c>
      <c r="U1006" s="13" t="s">
        <v>44</v>
      </c>
      <c r="V1006" s="13" t="s">
        <v>64</v>
      </c>
      <c r="W1006" s="12">
        <v>10</v>
      </c>
      <c r="X1006" s="33" t="str">
        <f>HYPERLINK("https://www.alpinabook.ru/catalog/book-mifozoi","ссылка на книгу")</f>
        <v>ссылка на книгу</v>
      </c>
      <c r="Y1006" s="34" t="str">
        <f>HYPERLINK("https://api-enni.alpina.ru/FilePrivilegesApproval/175","https://api-enni.alpina.ru/FilePrivilegesApproval/175")</f>
        <v>https://api-enni.alpina.ru/FilePrivilegesApproval/175</v>
      </c>
      <c r="Z1006" s="13"/>
      <c r="AT1006" s="1">
        <f t="shared" si="158"/>
        <v>0</v>
      </c>
      <c r="AU1006" s="1">
        <f t="shared" si="159"/>
        <v>0</v>
      </c>
      <c r="AV1006" s="1">
        <f t="shared" si="160"/>
        <v>0</v>
      </c>
      <c r="AW1006" s="1">
        <f t="shared" si="161"/>
        <v>0</v>
      </c>
      <c r="AX1006" s="1">
        <f t="shared" si="162"/>
        <v>0</v>
      </c>
    </row>
    <row r="1007" spans="1:50" s="1" customFormat="1" ht="21.95" customHeight="1" outlineLevel="3" x14ac:dyDescent="0.2">
      <c r="A1007" s="11"/>
      <c r="B1007" s="12">
        <v>360</v>
      </c>
      <c r="C1007" s="12">
        <v>590</v>
      </c>
      <c r="D1007" s="12">
        <v>30969</v>
      </c>
      <c r="E1007" s="13" t="s">
        <v>3302</v>
      </c>
      <c r="F1007" s="13" t="s">
        <v>3303</v>
      </c>
      <c r="G1007" s="13" t="s">
        <v>86</v>
      </c>
      <c r="H1007" s="13" t="s">
        <v>40</v>
      </c>
      <c r="I1007" s="12">
        <v>2025</v>
      </c>
      <c r="J1007" s="13" t="s">
        <v>3304</v>
      </c>
      <c r="K1007" s="12">
        <v>9785002233137</v>
      </c>
      <c r="L1007" s="13" t="s">
        <v>3305</v>
      </c>
      <c r="M1007" s="12">
        <v>464</v>
      </c>
      <c r="N1007" s="14">
        <v>0.3</v>
      </c>
      <c r="O1007" s="12">
        <v>120</v>
      </c>
      <c r="P1007" s="12">
        <v>170</v>
      </c>
      <c r="Q1007" s="12">
        <v>24</v>
      </c>
      <c r="R1007" s="13" t="s">
        <v>75</v>
      </c>
      <c r="S1007" s="13" t="s">
        <v>596</v>
      </c>
      <c r="T1007" s="15">
        <v>2000</v>
      </c>
      <c r="U1007" s="13" t="s">
        <v>44</v>
      </c>
      <c r="V1007" s="13" t="s">
        <v>89</v>
      </c>
      <c r="W1007" s="12">
        <v>10</v>
      </c>
      <c r="X1007" s="33" t="str">
        <f>HYPERLINK("https://www.alpinabook.ru/catalog/book-neudobnye-zhenshchiny","ссылка на книгу")</f>
        <v>ссылка на книгу</v>
      </c>
      <c r="Y1007" s="34" t="str">
        <f>HYPERLINK("","")</f>
        <v/>
      </c>
      <c r="Z1007" s="13" t="s">
        <v>775</v>
      </c>
      <c r="AT1007" s="1">
        <f t="shared" si="158"/>
        <v>0</v>
      </c>
      <c r="AU1007" s="1">
        <f t="shared" si="159"/>
        <v>0</v>
      </c>
      <c r="AV1007" s="1">
        <f t="shared" si="160"/>
        <v>0</v>
      </c>
      <c r="AW1007" s="1">
        <f t="shared" si="161"/>
        <v>0</v>
      </c>
      <c r="AX1007" s="1">
        <f t="shared" si="162"/>
        <v>0</v>
      </c>
    </row>
    <row r="1008" spans="1:50" s="1" customFormat="1" ht="24.95" customHeight="1" outlineLevel="3" x14ac:dyDescent="0.2">
      <c r="A1008" s="11"/>
      <c r="B1008" s="12">
        <v>790</v>
      </c>
      <c r="C1008" s="15">
        <v>1190</v>
      </c>
      <c r="D1008" s="12">
        <v>22825</v>
      </c>
      <c r="E1008" s="13" t="s">
        <v>3306</v>
      </c>
      <c r="F1008" s="13" t="s">
        <v>3307</v>
      </c>
      <c r="G1008" s="13" t="s">
        <v>86</v>
      </c>
      <c r="H1008" s="13" t="s">
        <v>40</v>
      </c>
      <c r="I1008" s="12">
        <v>2024</v>
      </c>
      <c r="J1008" s="13" t="s">
        <v>3308</v>
      </c>
      <c r="K1008" s="12">
        <v>9785916714289</v>
      </c>
      <c r="L1008" s="13" t="s">
        <v>3309</v>
      </c>
      <c r="M1008" s="12">
        <v>406</v>
      </c>
      <c r="N1008" s="14">
        <v>0.57999999999999996</v>
      </c>
      <c r="O1008" s="12">
        <v>150</v>
      </c>
      <c r="P1008" s="12">
        <v>220</v>
      </c>
      <c r="Q1008" s="12">
        <v>10</v>
      </c>
      <c r="R1008" s="13" t="s">
        <v>43</v>
      </c>
      <c r="S1008" s="13"/>
      <c r="T1008" s="15">
        <v>2000</v>
      </c>
      <c r="U1008" s="13" t="s">
        <v>52</v>
      </c>
      <c r="V1008" s="13" t="s">
        <v>59</v>
      </c>
      <c r="W1008" s="12">
        <v>10</v>
      </c>
      <c r="X1008" s="33" t="str">
        <f>HYPERLINK("https://www.alpinabook.ru/catalog/book-nit-istorii","ссылка на книгу")</f>
        <v>ссылка на книгу</v>
      </c>
      <c r="Y1008" s="34" t="str">
        <f>HYPERLINK("https://api-enni.alpina.ru/FilePrivilegesApproval/241","https://api-enni.alpina.ru/FilePrivilegesApproval/241")</f>
        <v>https://api-enni.alpina.ru/FilePrivilegesApproval/241</v>
      </c>
      <c r="Z1008" s="13"/>
      <c r="AT1008" s="1">
        <f t="shared" si="158"/>
        <v>0</v>
      </c>
      <c r="AU1008" s="1">
        <f t="shared" si="159"/>
        <v>0</v>
      </c>
      <c r="AV1008" s="1">
        <f t="shared" si="160"/>
        <v>0</v>
      </c>
      <c r="AW1008" s="1">
        <f t="shared" si="161"/>
        <v>0</v>
      </c>
      <c r="AX1008" s="1">
        <f t="shared" si="162"/>
        <v>0</v>
      </c>
    </row>
    <row r="1009" spans="1:50" s="1" customFormat="1" ht="24.95" customHeight="1" outlineLevel="3" x14ac:dyDescent="0.2">
      <c r="A1009" s="11"/>
      <c r="B1009" s="12">
        <v>740</v>
      </c>
      <c r="C1009" s="15">
        <v>1090</v>
      </c>
      <c r="D1009" s="12">
        <v>29407</v>
      </c>
      <c r="E1009" s="13" t="s">
        <v>3207</v>
      </c>
      <c r="F1009" s="13" t="s">
        <v>3310</v>
      </c>
      <c r="G1009" s="13" t="s">
        <v>86</v>
      </c>
      <c r="H1009" s="13"/>
      <c r="I1009" s="12">
        <v>2025</v>
      </c>
      <c r="J1009" s="13" t="s">
        <v>3311</v>
      </c>
      <c r="K1009" s="12">
        <v>9785002231393</v>
      </c>
      <c r="L1009" s="13" t="s">
        <v>3312</v>
      </c>
      <c r="M1009" s="12">
        <v>538</v>
      </c>
      <c r="N1009" s="14">
        <v>0.56999999999999995</v>
      </c>
      <c r="O1009" s="12">
        <v>150</v>
      </c>
      <c r="P1009" s="12">
        <v>220</v>
      </c>
      <c r="Q1009" s="12">
        <v>8</v>
      </c>
      <c r="R1009" s="13" t="s">
        <v>43</v>
      </c>
      <c r="S1009" s="13"/>
      <c r="T1009" s="15">
        <v>2000</v>
      </c>
      <c r="U1009" s="13" t="s">
        <v>52</v>
      </c>
      <c r="V1009" s="13" t="s">
        <v>45</v>
      </c>
      <c r="W1009" s="12">
        <v>10</v>
      </c>
      <c r="X1009" s="33" t="str">
        <f>HYPERLINK("https://www.alpinabook.ru/catalog/book-o-nachalakh-i-kontsakh-sveta","ссылка на книгу")</f>
        <v>ссылка на книгу</v>
      </c>
      <c r="Y1009" s="34" t="str">
        <f>HYPERLINK("https://api-enni.alpina.ru/FilePrivilegesApproval/730","https://api-enni.alpina.ru/FilePrivilegesApproval/730")</f>
        <v>https://api-enni.alpina.ru/FilePrivilegesApproval/730</v>
      </c>
      <c r="Z1009" s="13"/>
      <c r="AT1009" s="1">
        <f t="shared" si="158"/>
        <v>0</v>
      </c>
      <c r="AU1009" s="1">
        <f t="shared" si="159"/>
        <v>0</v>
      </c>
      <c r="AV1009" s="1">
        <f t="shared" si="160"/>
        <v>0</v>
      </c>
      <c r="AW1009" s="1">
        <f t="shared" si="161"/>
        <v>0</v>
      </c>
      <c r="AX1009" s="1">
        <f t="shared" si="162"/>
        <v>0</v>
      </c>
    </row>
    <row r="1010" spans="1:50" s="1" customFormat="1" ht="24.95" customHeight="1" outlineLevel="3" x14ac:dyDescent="0.2">
      <c r="A1010" s="11"/>
      <c r="B1010" s="12">
        <v>640</v>
      </c>
      <c r="C1010" s="12">
        <v>940</v>
      </c>
      <c r="D1010" s="12">
        <v>19307</v>
      </c>
      <c r="E1010" s="13" t="s">
        <v>3313</v>
      </c>
      <c r="F1010" s="13" t="s">
        <v>3314</v>
      </c>
      <c r="G1010" s="13" t="s">
        <v>86</v>
      </c>
      <c r="H1010" s="13" t="s">
        <v>40</v>
      </c>
      <c r="I1010" s="12">
        <v>2021</v>
      </c>
      <c r="J1010" s="13" t="s">
        <v>3315</v>
      </c>
      <c r="K1010" s="12">
        <v>9785001395089</v>
      </c>
      <c r="L1010" s="13" t="s">
        <v>3316</v>
      </c>
      <c r="M1010" s="12">
        <v>412</v>
      </c>
      <c r="N1010" s="14">
        <v>0.51</v>
      </c>
      <c r="O1010" s="12">
        <v>146</v>
      </c>
      <c r="P1010" s="12">
        <v>216</v>
      </c>
      <c r="Q1010" s="12">
        <v>12</v>
      </c>
      <c r="R1010" s="13" t="s">
        <v>43</v>
      </c>
      <c r="S1010" s="13"/>
      <c r="T1010" s="15">
        <v>3000</v>
      </c>
      <c r="U1010" s="13" t="s">
        <v>52</v>
      </c>
      <c r="V1010" s="13" t="s">
        <v>45</v>
      </c>
      <c r="W1010" s="12">
        <v>10</v>
      </c>
      <c r="X1010" s="33" t="str">
        <f>HYPERLINK("https://www.alpinabook.ru/catalog/book-obratnyy-otschet","ссылка на книгу")</f>
        <v>ссылка на книгу</v>
      </c>
      <c r="Y1010" s="34" t="str">
        <f>HYPERLINK("https://api-enni.alpina.ru/FilePrivilegesApproval/149","https://api-enni.alpina.ru/FilePrivilegesApproval/149")</f>
        <v>https://api-enni.alpina.ru/FilePrivilegesApproval/149</v>
      </c>
      <c r="Z1010" s="13"/>
      <c r="AT1010" s="1">
        <f t="shared" si="158"/>
        <v>0</v>
      </c>
      <c r="AU1010" s="1">
        <f t="shared" si="159"/>
        <v>0</v>
      </c>
      <c r="AV1010" s="1">
        <f t="shared" si="160"/>
        <v>0</v>
      </c>
      <c r="AW1010" s="1">
        <f t="shared" si="161"/>
        <v>0</v>
      </c>
      <c r="AX1010" s="1">
        <f t="shared" si="162"/>
        <v>0</v>
      </c>
    </row>
    <row r="1011" spans="1:50" s="1" customFormat="1" ht="24.95" customHeight="1" outlineLevel="3" x14ac:dyDescent="0.2">
      <c r="A1011" s="11"/>
      <c r="B1011" s="12">
        <v>440</v>
      </c>
      <c r="C1011" s="12">
        <v>690</v>
      </c>
      <c r="D1011" s="12">
        <v>30262</v>
      </c>
      <c r="E1011" s="13" t="s">
        <v>3317</v>
      </c>
      <c r="F1011" s="13" t="s">
        <v>3318</v>
      </c>
      <c r="G1011" s="13" t="s">
        <v>86</v>
      </c>
      <c r="H1011" s="13" t="s">
        <v>434</v>
      </c>
      <c r="I1011" s="12">
        <v>2024</v>
      </c>
      <c r="J1011" s="13" t="s">
        <v>3319</v>
      </c>
      <c r="K1011" s="12">
        <v>9785002232383</v>
      </c>
      <c r="L1011" s="13" t="s">
        <v>3320</v>
      </c>
      <c r="M1011" s="12">
        <v>592</v>
      </c>
      <c r="N1011" s="14">
        <v>0.38</v>
      </c>
      <c r="O1011" s="12">
        <v>120</v>
      </c>
      <c r="P1011" s="12">
        <v>170</v>
      </c>
      <c r="Q1011" s="12">
        <v>5</v>
      </c>
      <c r="R1011" s="13" t="s">
        <v>75</v>
      </c>
      <c r="S1011" s="13" t="s">
        <v>596</v>
      </c>
      <c r="T1011" s="15">
        <v>2000</v>
      </c>
      <c r="U1011" s="13" t="s">
        <v>44</v>
      </c>
      <c r="V1011" s="13" t="s">
        <v>45</v>
      </c>
      <c r="W1011" s="12">
        <v>10</v>
      </c>
      <c r="X1011" s="33" t="str">
        <f>HYPERLINK("https://www.alpinabook.ru/catalog/book-obyasnyaya-religiyu","ссылка на книгу")</f>
        <v>ссылка на книгу</v>
      </c>
      <c r="Y1011" s="34" t="str">
        <f>HYPERLINK("https://api-enni.alpina.ru/FilePrivilegesApproval/127","https://api-enni.alpina.ru/FilePrivilegesApproval/127")</f>
        <v>https://api-enni.alpina.ru/FilePrivilegesApproval/127</v>
      </c>
      <c r="Z1011" s="13"/>
      <c r="AT1011" s="1">
        <f t="shared" si="158"/>
        <v>0</v>
      </c>
      <c r="AU1011" s="1">
        <f t="shared" si="159"/>
        <v>0</v>
      </c>
      <c r="AV1011" s="1">
        <f t="shared" si="160"/>
        <v>0</v>
      </c>
      <c r="AW1011" s="1">
        <f t="shared" si="161"/>
        <v>0</v>
      </c>
      <c r="AX1011" s="1">
        <f t="shared" si="162"/>
        <v>0</v>
      </c>
    </row>
    <row r="1012" spans="1:50" s="1" customFormat="1" ht="21.95" customHeight="1" outlineLevel="3" x14ac:dyDescent="0.2">
      <c r="A1012" s="11"/>
      <c r="B1012" s="12">
        <v>790</v>
      </c>
      <c r="C1012" s="15">
        <v>1090</v>
      </c>
      <c r="D1012" s="12">
        <v>29330</v>
      </c>
      <c r="E1012" s="13" t="s">
        <v>133</v>
      </c>
      <c r="F1012" s="13" t="s">
        <v>134</v>
      </c>
      <c r="G1012" s="13" t="s">
        <v>86</v>
      </c>
      <c r="H1012" s="13" t="s">
        <v>40</v>
      </c>
      <c r="I1012" s="12">
        <v>2025</v>
      </c>
      <c r="J1012" s="13" t="s">
        <v>135</v>
      </c>
      <c r="K1012" s="12">
        <v>9785002231355</v>
      </c>
      <c r="L1012" s="13" t="s">
        <v>136</v>
      </c>
      <c r="M1012" s="12">
        <v>386</v>
      </c>
      <c r="N1012" s="14">
        <v>0.42</v>
      </c>
      <c r="O1012" s="12">
        <v>150</v>
      </c>
      <c r="P1012" s="12">
        <v>220</v>
      </c>
      <c r="Q1012" s="12">
        <v>10</v>
      </c>
      <c r="R1012" s="13" t="s">
        <v>43</v>
      </c>
      <c r="S1012" s="13"/>
      <c r="T1012" s="15">
        <v>2000</v>
      </c>
      <c r="U1012" s="13" t="s">
        <v>52</v>
      </c>
      <c r="V1012" s="13" t="s">
        <v>89</v>
      </c>
      <c r="W1012" s="12">
        <v>20</v>
      </c>
      <c r="X1012" s="33" t="str">
        <f>HYPERLINK("https://www.alpinabook.ru/catalog/book-obychnye-lyudi-101-batalon","ссылка на книгу")</f>
        <v>ссылка на книгу</v>
      </c>
      <c r="Y1012" s="34" t="str">
        <f>HYPERLINK("","")</f>
        <v/>
      </c>
      <c r="Z1012" s="13" t="s">
        <v>70</v>
      </c>
      <c r="AT1012" s="1">
        <f t="shared" si="158"/>
        <v>0</v>
      </c>
      <c r="AU1012" s="1">
        <f t="shared" si="159"/>
        <v>0</v>
      </c>
      <c r="AV1012" s="1">
        <f t="shared" si="160"/>
        <v>0</v>
      </c>
      <c r="AW1012" s="1">
        <f t="shared" si="161"/>
        <v>0</v>
      </c>
      <c r="AX1012" s="1">
        <f t="shared" si="162"/>
        <v>0</v>
      </c>
    </row>
    <row r="1013" spans="1:50" s="1" customFormat="1" ht="24.95" customHeight="1" outlineLevel="3" x14ac:dyDescent="0.2">
      <c r="A1013" s="11"/>
      <c r="B1013" s="12">
        <v>690</v>
      </c>
      <c r="C1013" s="12">
        <v>690</v>
      </c>
      <c r="D1013" s="12">
        <v>19147</v>
      </c>
      <c r="E1013" s="13" t="s">
        <v>3321</v>
      </c>
      <c r="F1013" s="13" t="s">
        <v>3322</v>
      </c>
      <c r="G1013" s="13" t="s">
        <v>86</v>
      </c>
      <c r="H1013" s="13" t="s">
        <v>40</v>
      </c>
      <c r="I1013" s="12">
        <v>2023</v>
      </c>
      <c r="J1013" s="13" t="s">
        <v>3323</v>
      </c>
      <c r="K1013" s="12">
        <v>9785001398042</v>
      </c>
      <c r="L1013" s="13" t="s">
        <v>3324</v>
      </c>
      <c r="M1013" s="12">
        <v>494</v>
      </c>
      <c r="N1013" s="14">
        <v>0.6</v>
      </c>
      <c r="O1013" s="12">
        <v>150</v>
      </c>
      <c r="P1013" s="12">
        <v>220</v>
      </c>
      <c r="Q1013" s="12">
        <v>6</v>
      </c>
      <c r="R1013" s="13" t="s">
        <v>43</v>
      </c>
      <c r="S1013" s="13"/>
      <c r="T1013" s="15">
        <v>3000</v>
      </c>
      <c r="U1013" s="13" t="s">
        <v>52</v>
      </c>
      <c r="V1013" s="13" t="s">
        <v>45</v>
      </c>
      <c r="W1013" s="12">
        <v>10</v>
      </c>
      <c r="X1013" s="33" t="str">
        <f>HYPERLINK("https://www.alpinabook.ru/catalog/book-otryad-otmorozkov","ссылка на книгу")</f>
        <v>ссылка на книгу</v>
      </c>
      <c r="Y1013" s="34" t="str">
        <f>HYPERLINK("https://api-enni.alpina.ru/FilePrivilegesApproval/195","https://api-enni.alpina.ru/FilePrivilegesApproval/195")</f>
        <v>https://api-enni.alpina.ru/FilePrivilegesApproval/195</v>
      </c>
      <c r="Z1013" s="13"/>
      <c r="AT1013" s="1">
        <f t="shared" si="158"/>
        <v>0</v>
      </c>
      <c r="AU1013" s="1">
        <f t="shared" si="159"/>
        <v>0</v>
      </c>
      <c r="AV1013" s="1">
        <f t="shared" si="160"/>
        <v>0</v>
      </c>
      <c r="AW1013" s="1">
        <f t="shared" si="161"/>
        <v>0</v>
      </c>
      <c r="AX1013" s="1">
        <f t="shared" si="162"/>
        <v>0</v>
      </c>
    </row>
    <row r="1014" spans="1:50" s="1" customFormat="1" ht="24.95" customHeight="1" outlineLevel="3" x14ac:dyDescent="0.2">
      <c r="A1014" s="11"/>
      <c r="B1014" s="15">
        <v>1220</v>
      </c>
      <c r="C1014" s="15">
        <v>1690</v>
      </c>
      <c r="D1014" s="12">
        <v>24963</v>
      </c>
      <c r="E1014" s="13" t="s">
        <v>152</v>
      </c>
      <c r="F1014" s="13" t="s">
        <v>153</v>
      </c>
      <c r="G1014" s="13" t="s">
        <v>86</v>
      </c>
      <c r="H1014" s="13" t="s">
        <v>40</v>
      </c>
      <c r="I1014" s="12">
        <v>2025</v>
      </c>
      <c r="J1014" s="13" t="s">
        <v>154</v>
      </c>
      <c r="K1014" s="12">
        <v>9785002232994</v>
      </c>
      <c r="L1014" s="13" t="s">
        <v>155</v>
      </c>
      <c r="M1014" s="12">
        <v>610</v>
      </c>
      <c r="N1014" s="14">
        <v>0.79</v>
      </c>
      <c r="O1014" s="12">
        <v>170</v>
      </c>
      <c r="P1014" s="12">
        <v>240</v>
      </c>
      <c r="Q1014" s="12">
        <v>3</v>
      </c>
      <c r="R1014" s="13" t="s">
        <v>94</v>
      </c>
      <c r="S1014" s="13"/>
      <c r="T1014" s="15">
        <v>3000</v>
      </c>
      <c r="U1014" s="13" t="s">
        <v>52</v>
      </c>
      <c r="V1014" s="13" t="s">
        <v>59</v>
      </c>
      <c r="W1014" s="12">
        <v>10</v>
      </c>
      <c r="X1014" s="33" t="str">
        <f>HYPERLINK("https://www.alpinabook.ru/catalog/book-padenie-robespera","ссылка на книгу")</f>
        <v>ссылка на книгу</v>
      </c>
      <c r="Y1014" s="34" t="str">
        <f>HYPERLINK("https://api-enni.alpina.ru/FilePrivilegesApproval/687","https://api-enni.alpina.ru/FilePrivilegesApproval/687")</f>
        <v>https://api-enni.alpina.ru/FilePrivilegesApproval/687</v>
      </c>
      <c r="Z1014" s="13" t="s">
        <v>151</v>
      </c>
      <c r="AT1014" s="1">
        <f t="shared" si="158"/>
        <v>0</v>
      </c>
      <c r="AU1014" s="1">
        <f t="shared" si="159"/>
        <v>0</v>
      </c>
      <c r="AV1014" s="1">
        <f t="shared" si="160"/>
        <v>0</v>
      </c>
      <c r="AW1014" s="1">
        <f t="shared" si="161"/>
        <v>0</v>
      </c>
      <c r="AX1014" s="1">
        <f t="shared" si="162"/>
        <v>0</v>
      </c>
    </row>
    <row r="1015" spans="1:50" s="1" customFormat="1" ht="24.95" customHeight="1" outlineLevel="3" x14ac:dyDescent="0.2">
      <c r="A1015" s="11"/>
      <c r="B1015" s="12">
        <v>990</v>
      </c>
      <c r="C1015" s="15">
        <v>1490</v>
      </c>
      <c r="D1015" s="12">
        <v>27580</v>
      </c>
      <c r="E1015" s="13" t="s">
        <v>3325</v>
      </c>
      <c r="F1015" s="13" t="s">
        <v>3326</v>
      </c>
      <c r="G1015" s="13" t="s">
        <v>56</v>
      </c>
      <c r="H1015" s="13" t="s">
        <v>40</v>
      </c>
      <c r="I1015" s="12">
        <v>2024</v>
      </c>
      <c r="J1015" s="13" t="s">
        <v>3327</v>
      </c>
      <c r="K1015" s="12">
        <v>9785961485738</v>
      </c>
      <c r="L1015" s="13" t="s">
        <v>3328</v>
      </c>
      <c r="M1015" s="12">
        <v>836</v>
      </c>
      <c r="N1015" s="14">
        <v>0.88</v>
      </c>
      <c r="O1015" s="12">
        <v>150</v>
      </c>
      <c r="P1015" s="12">
        <v>220</v>
      </c>
      <c r="Q1015" s="12">
        <v>6</v>
      </c>
      <c r="R1015" s="13" t="s">
        <v>43</v>
      </c>
      <c r="S1015" s="13"/>
      <c r="T1015" s="15">
        <v>3000</v>
      </c>
      <c r="U1015" s="13" t="s">
        <v>52</v>
      </c>
      <c r="V1015" s="13" t="s">
        <v>89</v>
      </c>
      <c r="W1015" s="12">
        <v>10</v>
      </c>
      <c r="X1015" s="33" t="str">
        <f>HYPERLINK("https://www.alpinabook.ru/catalog/book-papa-rimskiy-i-voyna","ссылка на книгу")</f>
        <v>ссылка на книгу</v>
      </c>
      <c r="Y1015" s="34" t="str">
        <f>HYPERLINK("https://api-enni.alpina.ru/FilePrivilegesApproval/379","https://api-enni.alpina.ru/FilePrivilegesApproval/379")</f>
        <v>https://api-enni.alpina.ru/FilePrivilegesApproval/379</v>
      </c>
      <c r="Z1015" s="13"/>
      <c r="AT1015" s="1">
        <f t="shared" si="158"/>
        <v>0</v>
      </c>
      <c r="AU1015" s="1">
        <f t="shared" si="159"/>
        <v>0</v>
      </c>
      <c r="AV1015" s="1">
        <f t="shared" si="160"/>
        <v>0</v>
      </c>
      <c r="AW1015" s="1">
        <f t="shared" si="161"/>
        <v>0</v>
      </c>
      <c r="AX1015" s="1">
        <f t="shared" si="162"/>
        <v>0</v>
      </c>
    </row>
    <row r="1016" spans="1:50" s="1" customFormat="1" ht="24.95" customHeight="1" outlineLevel="3" x14ac:dyDescent="0.2">
      <c r="A1016" s="11"/>
      <c r="B1016" s="12">
        <v>690</v>
      </c>
      <c r="C1016" s="12">
        <v>990</v>
      </c>
      <c r="D1016" s="12">
        <v>27746</v>
      </c>
      <c r="E1016" s="13" t="s">
        <v>3329</v>
      </c>
      <c r="F1016" s="13" t="s">
        <v>3330</v>
      </c>
      <c r="G1016" s="13" t="s">
        <v>56</v>
      </c>
      <c r="H1016" s="13" t="s">
        <v>434</v>
      </c>
      <c r="I1016" s="12">
        <v>2025</v>
      </c>
      <c r="J1016" s="13" t="s">
        <v>3331</v>
      </c>
      <c r="K1016" s="12">
        <v>9785961486223</v>
      </c>
      <c r="L1016" s="13" t="s">
        <v>3332</v>
      </c>
      <c r="M1016" s="12">
        <v>214</v>
      </c>
      <c r="N1016" s="14">
        <v>0.36</v>
      </c>
      <c r="O1016" s="12">
        <v>150</v>
      </c>
      <c r="P1016" s="12">
        <v>220</v>
      </c>
      <c r="Q1016" s="12">
        <v>18</v>
      </c>
      <c r="R1016" s="13" t="s">
        <v>43</v>
      </c>
      <c r="S1016" s="13"/>
      <c r="T1016" s="15">
        <v>1500</v>
      </c>
      <c r="U1016" s="13" t="s">
        <v>52</v>
      </c>
      <c r="V1016" s="13" t="s">
        <v>45</v>
      </c>
      <c r="W1016" s="12">
        <v>10</v>
      </c>
      <c r="X1016" s="33" t="str">
        <f>HYPERLINK("https://www.alpinabook.ru/catalog/book-perepisyvaya-proshloe","ссылка на книгу")</f>
        <v>ссылка на книгу</v>
      </c>
      <c r="Y1016" s="34" t="str">
        <f>HYPERLINK("https://api-enni.alpina.ru/FilePrivilegesApproval/700","https://api-enni.alpina.ru/FilePrivilegesApproval/700")</f>
        <v>https://api-enni.alpina.ru/FilePrivilegesApproval/700</v>
      </c>
      <c r="Z1016" s="13"/>
      <c r="AT1016" s="1">
        <f t="shared" si="158"/>
        <v>0</v>
      </c>
      <c r="AU1016" s="1">
        <f t="shared" si="159"/>
        <v>0</v>
      </c>
      <c r="AV1016" s="1">
        <f t="shared" si="160"/>
        <v>0</v>
      </c>
      <c r="AW1016" s="1">
        <f t="shared" si="161"/>
        <v>0</v>
      </c>
      <c r="AX1016" s="1">
        <f t="shared" si="162"/>
        <v>0</v>
      </c>
    </row>
    <row r="1017" spans="1:50" s="1" customFormat="1" ht="24.95" customHeight="1" outlineLevel="3" x14ac:dyDescent="0.2">
      <c r="A1017" s="11"/>
      <c r="B1017" s="12">
        <v>690</v>
      </c>
      <c r="C1017" s="12">
        <v>990</v>
      </c>
      <c r="D1017" s="12">
        <v>29851</v>
      </c>
      <c r="E1017" s="13" t="s">
        <v>3333</v>
      </c>
      <c r="F1017" s="13" t="s">
        <v>3334</v>
      </c>
      <c r="G1017" s="13" t="s">
        <v>56</v>
      </c>
      <c r="H1017" s="13" t="s">
        <v>40</v>
      </c>
      <c r="I1017" s="12">
        <v>2025</v>
      </c>
      <c r="J1017" s="13" t="s">
        <v>3335</v>
      </c>
      <c r="K1017" s="12">
        <v>9785961494228</v>
      </c>
      <c r="L1017" s="13" t="s">
        <v>3336</v>
      </c>
      <c r="M1017" s="12">
        <v>333</v>
      </c>
      <c r="N1017" s="14">
        <v>0.51</v>
      </c>
      <c r="O1017" s="12">
        <v>150</v>
      </c>
      <c r="P1017" s="12">
        <v>220</v>
      </c>
      <c r="Q1017" s="12">
        <v>12</v>
      </c>
      <c r="R1017" s="13" t="s">
        <v>43</v>
      </c>
      <c r="S1017" s="13"/>
      <c r="T1017" s="15">
        <v>1500</v>
      </c>
      <c r="U1017" s="13" t="s">
        <v>52</v>
      </c>
      <c r="V1017" s="13" t="s">
        <v>59</v>
      </c>
      <c r="W1017" s="12">
        <v>10</v>
      </c>
      <c r="X1017" s="33" t="str">
        <f>HYPERLINK("https://www.alpinabook.ru/catalog/book-pover-i-uvidish","ссылка на книгу")</f>
        <v>ссылка на книгу</v>
      </c>
      <c r="Y1017" s="34" t="str">
        <f>HYPERLINK("https://api-enni.alpina.ru/FilePrivilegesApproval/700","https://api-enni.alpina.ru/FilePrivilegesApproval/700")</f>
        <v>https://api-enni.alpina.ru/FilePrivilegesApproval/700</v>
      </c>
      <c r="Z1017" s="13"/>
      <c r="AT1017" s="1">
        <f t="shared" si="158"/>
        <v>0</v>
      </c>
      <c r="AU1017" s="1">
        <f t="shared" si="159"/>
        <v>0</v>
      </c>
      <c r="AV1017" s="1">
        <f t="shared" si="160"/>
        <v>0</v>
      </c>
      <c r="AW1017" s="1">
        <f t="shared" si="161"/>
        <v>0</v>
      </c>
      <c r="AX1017" s="1">
        <f t="shared" si="162"/>
        <v>0</v>
      </c>
    </row>
    <row r="1018" spans="1:50" s="1" customFormat="1" ht="24.95" customHeight="1" outlineLevel="3" x14ac:dyDescent="0.2">
      <c r="A1018" s="11"/>
      <c r="B1018" s="12">
        <v>740</v>
      </c>
      <c r="C1018" s="12">
        <v>990</v>
      </c>
      <c r="D1018" s="12">
        <v>19418</v>
      </c>
      <c r="E1018" s="13" t="s">
        <v>3337</v>
      </c>
      <c r="F1018" s="13" t="s">
        <v>3338</v>
      </c>
      <c r="G1018" s="13" t="s">
        <v>86</v>
      </c>
      <c r="H1018" s="13" t="s">
        <v>40</v>
      </c>
      <c r="I1018" s="12">
        <v>2023</v>
      </c>
      <c r="J1018" s="13" t="s">
        <v>3339</v>
      </c>
      <c r="K1018" s="12">
        <v>9785001397809</v>
      </c>
      <c r="L1018" s="13" t="s">
        <v>3340</v>
      </c>
      <c r="M1018" s="12">
        <v>390</v>
      </c>
      <c r="N1018" s="14">
        <v>0.55000000000000004</v>
      </c>
      <c r="O1018" s="12">
        <v>146</v>
      </c>
      <c r="P1018" s="12">
        <v>216</v>
      </c>
      <c r="Q1018" s="12">
        <v>10</v>
      </c>
      <c r="R1018" s="13" t="s">
        <v>43</v>
      </c>
      <c r="S1018" s="13"/>
      <c r="T1018" s="15">
        <v>2000</v>
      </c>
      <c r="U1018" s="13" t="s">
        <v>52</v>
      </c>
      <c r="V1018" s="13" t="s">
        <v>59</v>
      </c>
      <c r="W1018" s="12">
        <v>10</v>
      </c>
      <c r="X1018" s="33" t="str">
        <f>HYPERLINK("https://www.alpinabook.ru/catalog/book-polimat","ссылка на книгу")</f>
        <v>ссылка на книгу</v>
      </c>
      <c r="Y1018" s="34" t="str">
        <f>HYPERLINK("https://api-enni.alpina.ru/FilePrivilegesApproval/171","https://api-enni.alpina.ru/FilePrivilegesApproval/171")</f>
        <v>https://api-enni.alpina.ru/FilePrivilegesApproval/171</v>
      </c>
      <c r="Z1018" s="13"/>
      <c r="AT1018" s="1">
        <f t="shared" si="158"/>
        <v>0</v>
      </c>
      <c r="AU1018" s="1">
        <f t="shared" si="159"/>
        <v>0</v>
      </c>
      <c r="AV1018" s="1">
        <f t="shared" si="160"/>
        <v>0</v>
      </c>
      <c r="AW1018" s="1">
        <f t="shared" si="161"/>
        <v>0</v>
      </c>
      <c r="AX1018" s="1">
        <f t="shared" si="162"/>
        <v>0</v>
      </c>
    </row>
    <row r="1019" spans="1:50" s="1" customFormat="1" ht="24.95" customHeight="1" outlineLevel="3" x14ac:dyDescent="0.2">
      <c r="A1019" s="11"/>
      <c r="B1019" s="12">
        <v>840</v>
      </c>
      <c r="C1019" s="15">
        <v>1090</v>
      </c>
      <c r="D1019" s="12">
        <v>27928</v>
      </c>
      <c r="E1019" s="13" t="s">
        <v>3341</v>
      </c>
      <c r="F1019" s="13" t="s">
        <v>3342</v>
      </c>
      <c r="G1019" s="13" t="s">
        <v>86</v>
      </c>
      <c r="H1019" s="13" t="s">
        <v>40</v>
      </c>
      <c r="I1019" s="12">
        <v>2024</v>
      </c>
      <c r="J1019" s="13" t="s">
        <v>3343</v>
      </c>
      <c r="K1019" s="12">
        <v>9785001399759</v>
      </c>
      <c r="L1019" s="13" t="s">
        <v>3344</v>
      </c>
      <c r="M1019" s="12">
        <v>312</v>
      </c>
      <c r="N1019" s="14">
        <v>0.39</v>
      </c>
      <c r="O1019" s="12">
        <v>150</v>
      </c>
      <c r="P1019" s="12">
        <v>220</v>
      </c>
      <c r="Q1019" s="12">
        <v>10</v>
      </c>
      <c r="R1019" s="13" t="s">
        <v>43</v>
      </c>
      <c r="S1019" s="13"/>
      <c r="T1019" s="15">
        <v>2000</v>
      </c>
      <c r="U1019" s="13" t="s">
        <v>52</v>
      </c>
      <c r="V1019" s="13" t="s">
        <v>45</v>
      </c>
      <c r="W1019" s="12">
        <v>10</v>
      </c>
      <c r="X1019" s="33" t="str">
        <f>HYPERLINK("https://www.alpinabook.ru/catalog/book-smert-stalina","ссылка на книгу")</f>
        <v>ссылка на книгу</v>
      </c>
      <c r="Y1019" s="34" t="str">
        <f>HYPERLINK("https://api-enni.alpina.ru/FilePrivilegesApproval/369","https://api-enni.alpina.ru/FilePrivilegesApproval/369")</f>
        <v>https://api-enni.alpina.ru/FilePrivilegesApproval/369</v>
      </c>
      <c r="Z1019" s="13"/>
      <c r="AT1019" s="1">
        <f t="shared" si="158"/>
        <v>0</v>
      </c>
      <c r="AU1019" s="1">
        <f t="shared" si="159"/>
        <v>0</v>
      </c>
      <c r="AV1019" s="1">
        <f t="shared" si="160"/>
        <v>0</v>
      </c>
      <c r="AW1019" s="1">
        <f t="shared" si="161"/>
        <v>0</v>
      </c>
      <c r="AX1019" s="1">
        <f t="shared" si="162"/>
        <v>0</v>
      </c>
    </row>
    <row r="1020" spans="1:50" s="1" customFormat="1" ht="24.95" customHeight="1" outlineLevel="3" x14ac:dyDescent="0.2">
      <c r="A1020" s="11"/>
      <c r="B1020" s="12">
        <v>690</v>
      </c>
      <c r="C1020" s="12">
        <v>990</v>
      </c>
      <c r="D1020" s="12">
        <v>27582</v>
      </c>
      <c r="E1020" s="13" t="s">
        <v>3345</v>
      </c>
      <c r="F1020" s="13" t="s">
        <v>3346</v>
      </c>
      <c r="G1020" s="13" t="s">
        <v>56</v>
      </c>
      <c r="H1020" s="13" t="s">
        <v>40</v>
      </c>
      <c r="I1020" s="12">
        <v>2024</v>
      </c>
      <c r="J1020" s="13" t="s">
        <v>3347</v>
      </c>
      <c r="K1020" s="12">
        <v>9785961485745</v>
      </c>
      <c r="L1020" s="13" t="s">
        <v>3348</v>
      </c>
      <c r="M1020" s="12">
        <v>429</v>
      </c>
      <c r="N1020" s="14">
        <v>0.45</v>
      </c>
      <c r="O1020" s="12">
        <v>150</v>
      </c>
      <c r="P1020" s="12">
        <v>220</v>
      </c>
      <c r="Q1020" s="12">
        <v>8</v>
      </c>
      <c r="R1020" s="13" t="s">
        <v>43</v>
      </c>
      <c r="S1020" s="13"/>
      <c r="T1020" s="15">
        <v>3000</v>
      </c>
      <c r="U1020" s="13" t="s">
        <v>52</v>
      </c>
      <c r="V1020" s="13" t="s">
        <v>45</v>
      </c>
      <c r="W1020" s="12">
        <v>10</v>
      </c>
      <c r="X1020" s="33" t="str">
        <f>HYPERLINK("https://www.alpinabook.ru/catalog/book-privivka-dlya-imperatritsy","ссылка на книгу")</f>
        <v>ссылка на книгу</v>
      </c>
      <c r="Y1020" s="34" t="str">
        <f>HYPERLINK("https://api-enni.alpina.ru/FilePrivilegesApproval/376","https://api-enni.alpina.ru/FilePrivilegesApproval/376")</f>
        <v>https://api-enni.alpina.ru/FilePrivilegesApproval/376</v>
      </c>
      <c r="Z1020" s="13"/>
      <c r="AT1020" s="1">
        <f t="shared" si="158"/>
        <v>0</v>
      </c>
      <c r="AU1020" s="1">
        <f t="shared" si="159"/>
        <v>0</v>
      </c>
      <c r="AV1020" s="1">
        <f t="shared" si="160"/>
        <v>0</v>
      </c>
      <c r="AW1020" s="1">
        <f t="shared" si="161"/>
        <v>0</v>
      </c>
      <c r="AX1020" s="1">
        <f t="shared" si="162"/>
        <v>0</v>
      </c>
    </row>
    <row r="1021" spans="1:50" s="1" customFormat="1" ht="24.95" customHeight="1" outlineLevel="3" x14ac:dyDescent="0.2">
      <c r="A1021" s="11"/>
      <c r="B1021" s="12">
        <v>850</v>
      </c>
      <c r="C1021" s="15">
        <v>1290</v>
      </c>
      <c r="D1021" s="12">
        <v>24509</v>
      </c>
      <c r="E1021" s="13" t="s">
        <v>174</v>
      </c>
      <c r="F1021" s="13" t="s">
        <v>175</v>
      </c>
      <c r="G1021" s="13" t="s">
        <v>86</v>
      </c>
      <c r="H1021" s="13" t="s">
        <v>40</v>
      </c>
      <c r="I1021" s="12">
        <v>2025</v>
      </c>
      <c r="J1021" s="13" t="s">
        <v>176</v>
      </c>
      <c r="K1021" s="12">
        <v>9785002235001</v>
      </c>
      <c r="L1021" s="13" t="s">
        <v>177</v>
      </c>
      <c r="M1021" s="12">
        <v>504</v>
      </c>
      <c r="N1021" s="14">
        <v>0.52</v>
      </c>
      <c r="O1021" s="12">
        <v>150</v>
      </c>
      <c r="P1021" s="12">
        <v>220</v>
      </c>
      <c r="Q1021" s="12">
        <v>6</v>
      </c>
      <c r="R1021" s="13" t="s">
        <v>43</v>
      </c>
      <c r="S1021" s="13" t="s">
        <v>178</v>
      </c>
      <c r="T1021" s="15">
        <v>3000</v>
      </c>
      <c r="U1021" s="13" t="s">
        <v>52</v>
      </c>
      <c r="V1021" s="13" t="s">
        <v>59</v>
      </c>
      <c r="W1021" s="12">
        <v>10</v>
      </c>
      <c r="X1021" s="33" t="str">
        <f>HYPERLINK("https://www.alpinabook.ru/catalog/book-putevoditel-po-srednevekovyu","ссылка на книгу")</f>
        <v>ссылка на книгу</v>
      </c>
      <c r="Y1021" s="34" t="str">
        <f>HYPERLINK("https://api-enni.alpina.ru/FilePrivilegesApproval/838","https://api-enni.alpina.ru/FilePrivilegesApproval/838")</f>
        <v>https://api-enni.alpina.ru/FilePrivilegesApproval/838</v>
      </c>
      <c r="Z1021" s="13" t="s">
        <v>83</v>
      </c>
      <c r="AT1021" s="1">
        <f t="shared" si="158"/>
        <v>0</v>
      </c>
      <c r="AU1021" s="1">
        <f t="shared" si="159"/>
        <v>0</v>
      </c>
      <c r="AV1021" s="1">
        <f t="shared" si="160"/>
        <v>0</v>
      </c>
      <c r="AW1021" s="1">
        <f t="shared" si="161"/>
        <v>0</v>
      </c>
      <c r="AX1021" s="1">
        <f t="shared" si="162"/>
        <v>0</v>
      </c>
    </row>
    <row r="1022" spans="1:50" s="1" customFormat="1" ht="24.95" customHeight="1" outlineLevel="3" x14ac:dyDescent="0.2">
      <c r="A1022" s="11"/>
      <c r="B1022" s="12">
        <v>840</v>
      </c>
      <c r="C1022" s="12">
        <v>840</v>
      </c>
      <c r="D1022" s="12">
        <v>3334</v>
      </c>
      <c r="E1022" s="13" t="s">
        <v>3349</v>
      </c>
      <c r="F1022" s="13" t="s">
        <v>3350</v>
      </c>
      <c r="G1022" s="13" t="s">
        <v>56</v>
      </c>
      <c r="H1022" s="13"/>
      <c r="I1022" s="12">
        <v>2024</v>
      </c>
      <c r="J1022" s="13" t="s">
        <v>3351</v>
      </c>
      <c r="K1022" s="12">
        <v>9785961425949</v>
      </c>
      <c r="L1022" s="13" t="s">
        <v>3352</v>
      </c>
      <c r="M1022" s="12">
        <v>440</v>
      </c>
      <c r="N1022" s="14">
        <v>0.87</v>
      </c>
      <c r="O1022" s="12">
        <v>170</v>
      </c>
      <c r="P1022" s="12">
        <v>240</v>
      </c>
      <c r="Q1022" s="12">
        <v>5</v>
      </c>
      <c r="R1022" s="13" t="s">
        <v>94</v>
      </c>
      <c r="S1022" s="13"/>
      <c r="T1022" s="15">
        <v>1500</v>
      </c>
      <c r="U1022" s="13" t="s">
        <v>52</v>
      </c>
      <c r="V1022" s="13" t="s">
        <v>64</v>
      </c>
      <c r="W1022" s="12">
        <v>10</v>
      </c>
      <c r="X1022" s="33" t="str">
        <f>HYPERLINK("https://www.alpinabook.ru/catalog/book-revolyutsiya-gaydara","ссылка на книгу")</f>
        <v>ссылка на книгу</v>
      </c>
      <c r="Y1022" s="34" t="str">
        <f>HYPERLINK("https://api-enni.alpina.ru/FilePrivilegesApproval/2","https://api-enni.alpina.ru/FilePrivilegesApproval/2")</f>
        <v>https://api-enni.alpina.ru/FilePrivilegesApproval/2</v>
      </c>
      <c r="Z1022" s="13"/>
      <c r="AT1022" s="1">
        <f t="shared" si="158"/>
        <v>0</v>
      </c>
      <c r="AU1022" s="1">
        <f t="shared" si="159"/>
        <v>0</v>
      </c>
      <c r="AV1022" s="1">
        <f t="shared" si="160"/>
        <v>0</v>
      </c>
      <c r="AW1022" s="1">
        <f t="shared" si="161"/>
        <v>0</v>
      </c>
      <c r="AX1022" s="1">
        <f t="shared" si="162"/>
        <v>0</v>
      </c>
    </row>
    <row r="1023" spans="1:50" s="1" customFormat="1" ht="24.95" customHeight="1" outlineLevel="3" x14ac:dyDescent="0.2">
      <c r="A1023" s="11"/>
      <c r="B1023" s="12">
        <v>590</v>
      </c>
      <c r="C1023" s="12">
        <v>840</v>
      </c>
      <c r="D1023" s="12">
        <v>30481</v>
      </c>
      <c r="E1023" s="13" t="s">
        <v>3353</v>
      </c>
      <c r="F1023" s="13" t="s">
        <v>3354</v>
      </c>
      <c r="G1023" s="13" t="s">
        <v>56</v>
      </c>
      <c r="H1023" s="13"/>
      <c r="I1023" s="12">
        <v>2024</v>
      </c>
      <c r="J1023" s="13" t="s">
        <v>3355</v>
      </c>
      <c r="K1023" s="12">
        <v>9785961495645</v>
      </c>
      <c r="L1023" s="13" t="s">
        <v>3356</v>
      </c>
      <c r="M1023" s="12">
        <v>198</v>
      </c>
      <c r="N1023" s="14">
        <v>0.34</v>
      </c>
      <c r="O1023" s="12">
        <v>150</v>
      </c>
      <c r="P1023" s="12">
        <v>220</v>
      </c>
      <c r="Q1023" s="12">
        <v>16</v>
      </c>
      <c r="R1023" s="13" t="s">
        <v>43</v>
      </c>
      <c r="S1023" s="13"/>
      <c r="T1023" s="15">
        <v>2000</v>
      </c>
      <c r="U1023" s="13" t="s">
        <v>52</v>
      </c>
      <c r="V1023" s="13" t="s">
        <v>45</v>
      </c>
      <c r="W1023" s="12">
        <v>10</v>
      </c>
      <c r="X1023" s="33" t="str">
        <f>HYPERLINK("https://www.alpinabook.ru/catalog/book-repetitsiya-apokalipsisa","ссылка на книгу")</f>
        <v>ссылка на книгу</v>
      </c>
      <c r="Y1023" s="34" t="str">
        <f>HYPERLINK("https://api-enni.alpina.ru/FilePrivilegesApproval/633","https://api-enni.alpina.ru/FilePrivilegesApproval/633")</f>
        <v>https://api-enni.alpina.ru/FilePrivilegesApproval/633</v>
      </c>
      <c r="Z1023" s="13"/>
      <c r="AT1023" s="1">
        <f t="shared" si="158"/>
        <v>0</v>
      </c>
      <c r="AU1023" s="1">
        <f t="shared" si="159"/>
        <v>0</v>
      </c>
      <c r="AV1023" s="1">
        <f t="shared" si="160"/>
        <v>0</v>
      </c>
      <c r="AW1023" s="1">
        <f t="shared" si="161"/>
        <v>0</v>
      </c>
      <c r="AX1023" s="1">
        <f t="shared" si="162"/>
        <v>0</v>
      </c>
    </row>
    <row r="1024" spans="1:50" s="1" customFormat="1" ht="24.95" customHeight="1" outlineLevel="3" x14ac:dyDescent="0.2">
      <c r="A1024" s="11"/>
      <c r="B1024" s="12">
        <v>840</v>
      </c>
      <c r="C1024" s="15">
        <v>1290</v>
      </c>
      <c r="D1024" s="12">
        <v>29158</v>
      </c>
      <c r="E1024" s="13" t="s">
        <v>339</v>
      </c>
      <c r="F1024" s="13" t="s">
        <v>3357</v>
      </c>
      <c r="G1024" s="13" t="s">
        <v>86</v>
      </c>
      <c r="H1024" s="13"/>
      <c r="I1024" s="12">
        <v>2024</v>
      </c>
      <c r="J1024" s="13" t="s">
        <v>3358</v>
      </c>
      <c r="K1024" s="12">
        <v>9785002231195</v>
      </c>
      <c r="L1024" s="13" t="s">
        <v>3359</v>
      </c>
      <c r="M1024" s="12">
        <v>550</v>
      </c>
      <c r="N1024" s="14">
        <v>0.91</v>
      </c>
      <c r="O1024" s="12">
        <v>170</v>
      </c>
      <c r="P1024" s="12">
        <v>220</v>
      </c>
      <c r="Q1024" s="12">
        <v>5</v>
      </c>
      <c r="R1024" s="13" t="s">
        <v>100</v>
      </c>
      <c r="S1024" s="13"/>
      <c r="T1024" s="15">
        <v>5000</v>
      </c>
      <c r="U1024" s="13" t="s">
        <v>52</v>
      </c>
      <c r="V1024" s="13" t="s">
        <v>45</v>
      </c>
      <c r="W1024" s="12">
        <v>10</v>
      </c>
      <c r="X1024" s="33" t="str">
        <f>HYPERLINK("https://www.alpinabook.ru/catalog/book-rechflot","ссылка на книгу")</f>
        <v>ссылка на книгу</v>
      </c>
      <c r="Y1024" s="34" t="str">
        <f>HYPERLINK("https://api-enni.alpina.ru/FilePrivilegesApproval/386","https://api-enni.alpina.ru/FilePrivilegesApproval/386")</f>
        <v>https://api-enni.alpina.ru/FilePrivilegesApproval/386</v>
      </c>
      <c r="Z1024" s="13"/>
      <c r="AT1024" s="1">
        <f t="shared" si="158"/>
        <v>0</v>
      </c>
      <c r="AU1024" s="1">
        <f t="shared" si="159"/>
        <v>0</v>
      </c>
      <c r="AV1024" s="1">
        <f t="shared" si="160"/>
        <v>0</v>
      </c>
      <c r="AW1024" s="1">
        <f t="shared" si="161"/>
        <v>0</v>
      </c>
      <c r="AX1024" s="1">
        <f t="shared" si="162"/>
        <v>0</v>
      </c>
    </row>
    <row r="1025" spans="1:50" s="1" customFormat="1" ht="24.95" customHeight="1" outlineLevel="3" x14ac:dyDescent="0.2">
      <c r="A1025" s="11"/>
      <c r="B1025" s="12">
        <v>680</v>
      </c>
      <c r="C1025" s="15">
        <v>1090</v>
      </c>
      <c r="D1025" s="12">
        <v>30472</v>
      </c>
      <c r="E1025" s="13" t="s">
        <v>339</v>
      </c>
      <c r="F1025" s="13" t="s">
        <v>3360</v>
      </c>
      <c r="G1025" s="13" t="s">
        <v>86</v>
      </c>
      <c r="H1025" s="13"/>
      <c r="I1025" s="12">
        <v>2024</v>
      </c>
      <c r="J1025" s="13" t="s">
        <v>3361</v>
      </c>
      <c r="K1025" s="12">
        <v>9785002232598</v>
      </c>
      <c r="L1025" s="13" t="s">
        <v>3362</v>
      </c>
      <c r="M1025" s="12">
        <v>550</v>
      </c>
      <c r="N1025" s="14">
        <v>0.62</v>
      </c>
      <c r="O1025" s="12">
        <v>170</v>
      </c>
      <c r="P1025" s="12">
        <v>220</v>
      </c>
      <c r="Q1025" s="12">
        <v>4</v>
      </c>
      <c r="R1025" s="13" t="s">
        <v>100</v>
      </c>
      <c r="S1025" s="13"/>
      <c r="T1025" s="15">
        <v>10000</v>
      </c>
      <c r="U1025" s="13" t="s">
        <v>44</v>
      </c>
      <c r="V1025" s="13" t="s">
        <v>45</v>
      </c>
      <c r="W1025" s="12">
        <v>10</v>
      </c>
      <c r="X1025" s="33" t="str">
        <f>HYPERLINK("https://www.alpinabook.ru/catalog/book-rechflot","ссылка на книгу")</f>
        <v>ссылка на книгу</v>
      </c>
      <c r="Y1025" s="34" t="str">
        <f>HYPERLINK("https://api-enni.alpina.ru/FilePrivilegesApproval/386","https://api-enni.alpina.ru/FilePrivilegesApproval/386")</f>
        <v>https://api-enni.alpina.ru/FilePrivilegesApproval/386</v>
      </c>
      <c r="Z1025" s="13"/>
      <c r="AT1025" s="1">
        <f t="shared" si="158"/>
        <v>0</v>
      </c>
      <c r="AU1025" s="1">
        <f t="shared" si="159"/>
        <v>0</v>
      </c>
      <c r="AV1025" s="1">
        <f t="shared" si="160"/>
        <v>0</v>
      </c>
      <c r="AW1025" s="1">
        <f t="shared" si="161"/>
        <v>0</v>
      </c>
      <c r="AX1025" s="1">
        <f t="shared" si="162"/>
        <v>0</v>
      </c>
    </row>
    <row r="1026" spans="1:50" s="1" customFormat="1" ht="24.95" customHeight="1" outlineLevel="3" x14ac:dyDescent="0.2">
      <c r="A1026" s="11"/>
      <c r="B1026" s="12">
        <v>790</v>
      </c>
      <c r="C1026" s="12">
        <v>790</v>
      </c>
      <c r="D1026" s="12">
        <v>19127</v>
      </c>
      <c r="E1026" s="13" t="s">
        <v>3363</v>
      </c>
      <c r="F1026" s="13" t="s">
        <v>3364</v>
      </c>
      <c r="G1026" s="13" t="s">
        <v>86</v>
      </c>
      <c r="H1026" s="13" t="s">
        <v>40</v>
      </c>
      <c r="I1026" s="12">
        <v>2023</v>
      </c>
      <c r="J1026" s="13" t="s">
        <v>3365</v>
      </c>
      <c r="K1026" s="12">
        <v>9785001398158</v>
      </c>
      <c r="L1026" s="13" t="s">
        <v>3366</v>
      </c>
      <c r="M1026" s="12">
        <v>440</v>
      </c>
      <c r="N1026" s="14">
        <v>0.6</v>
      </c>
      <c r="O1026" s="12">
        <v>150</v>
      </c>
      <c r="P1026" s="12">
        <v>220</v>
      </c>
      <c r="Q1026" s="12">
        <v>10</v>
      </c>
      <c r="R1026" s="13" t="s">
        <v>43</v>
      </c>
      <c r="S1026" s="13"/>
      <c r="T1026" s="15">
        <v>1500</v>
      </c>
      <c r="U1026" s="13" t="s">
        <v>52</v>
      </c>
      <c r="V1026" s="13" t="s">
        <v>59</v>
      </c>
      <c r="W1026" s="12">
        <v>10</v>
      </c>
      <c r="X1026" s="33" t="str">
        <f>HYPERLINK("https://www.alpinabook.ru/catalog/book-svetlye-veka","ссылка на книгу")</f>
        <v>ссылка на книгу</v>
      </c>
      <c r="Y1026" s="34" t="str">
        <f>HYPERLINK("https://api-enni.alpina.ru/FilePrivilegesApproval/171","https://api-enni.alpina.ru/FilePrivilegesApproval/171")</f>
        <v>https://api-enni.alpina.ru/FilePrivilegesApproval/171</v>
      </c>
      <c r="Z1026" s="13"/>
      <c r="AT1026" s="1">
        <f t="shared" si="158"/>
        <v>0</v>
      </c>
      <c r="AU1026" s="1">
        <f t="shared" si="159"/>
        <v>0</v>
      </c>
      <c r="AV1026" s="1">
        <f t="shared" si="160"/>
        <v>0</v>
      </c>
      <c r="AW1026" s="1">
        <f t="shared" si="161"/>
        <v>0</v>
      </c>
      <c r="AX1026" s="1">
        <f t="shared" si="162"/>
        <v>0</v>
      </c>
    </row>
    <row r="1027" spans="1:50" s="1" customFormat="1" ht="24.95" customHeight="1" outlineLevel="3" x14ac:dyDescent="0.2">
      <c r="A1027" s="11"/>
      <c r="B1027" s="12">
        <v>540</v>
      </c>
      <c r="C1027" s="12">
        <v>890</v>
      </c>
      <c r="D1027" s="12">
        <v>24047</v>
      </c>
      <c r="E1027" s="13" t="s">
        <v>3367</v>
      </c>
      <c r="F1027" s="13" t="s">
        <v>3368</v>
      </c>
      <c r="G1027" s="13" t="s">
        <v>86</v>
      </c>
      <c r="H1027" s="13" t="s">
        <v>40</v>
      </c>
      <c r="I1027" s="12">
        <v>2022</v>
      </c>
      <c r="J1027" s="13" t="s">
        <v>3369</v>
      </c>
      <c r="K1027" s="12">
        <v>9785001397878</v>
      </c>
      <c r="L1027" s="13" t="s">
        <v>3370</v>
      </c>
      <c r="M1027" s="12">
        <v>344</v>
      </c>
      <c r="N1027" s="14">
        <v>0.5</v>
      </c>
      <c r="O1027" s="12">
        <v>146</v>
      </c>
      <c r="P1027" s="12">
        <v>216</v>
      </c>
      <c r="Q1027" s="12">
        <v>12</v>
      </c>
      <c r="R1027" s="13" t="s">
        <v>43</v>
      </c>
      <c r="S1027" s="13"/>
      <c r="T1027" s="15">
        <v>3000</v>
      </c>
      <c r="U1027" s="13" t="s">
        <v>52</v>
      </c>
      <c r="V1027" s="13" t="s">
        <v>64</v>
      </c>
      <c r="W1027" s="12">
        <v>10</v>
      </c>
      <c r="X1027" s="33" t="str">
        <f>HYPERLINK("https://www.alpinabook.ru/catalog/book-sem-glavnykh-igr","ссылка на книгу")</f>
        <v>ссылка на книгу</v>
      </c>
      <c r="Y1027" s="34" t="str">
        <f>HYPERLINK("https://api-enni.alpina.ru/FilePrivilegesApproval/185","https://api-enni.alpina.ru/FilePrivilegesApproval/185")</f>
        <v>https://api-enni.alpina.ru/FilePrivilegesApproval/185</v>
      </c>
      <c r="Z1027" s="13"/>
      <c r="AT1027" s="1">
        <f t="shared" si="158"/>
        <v>0</v>
      </c>
      <c r="AU1027" s="1">
        <f t="shared" si="159"/>
        <v>0</v>
      </c>
      <c r="AV1027" s="1">
        <f t="shared" si="160"/>
        <v>0</v>
      </c>
      <c r="AW1027" s="1">
        <f t="shared" si="161"/>
        <v>0</v>
      </c>
      <c r="AX1027" s="1">
        <f t="shared" si="162"/>
        <v>0</v>
      </c>
    </row>
    <row r="1028" spans="1:50" s="1" customFormat="1" ht="24.95" customHeight="1" outlineLevel="3" x14ac:dyDescent="0.2">
      <c r="A1028" s="11"/>
      <c r="B1028" s="12">
        <v>990</v>
      </c>
      <c r="C1028" s="15">
        <v>1190</v>
      </c>
      <c r="D1028" s="12">
        <v>6824</v>
      </c>
      <c r="E1028" s="13" t="s">
        <v>3371</v>
      </c>
      <c r="F1028" s="13" t="s">
        <v>3372</v>
      </c>
      <c r="G1028" s="13" t="s">
        <v>86</v>
      </c>
      <c r="H1028" s="13" t="s">
        <v>40</v>
      </c>
      <c r="I1028" s="12">
        <v>2024</v>
      </c>
      <c r="J1028" s="13" t="s">
        <v>3373</v>
      </c>
      <c r="K1028" s="12">
        <v>9785916717129</v>
      </c>
      <c r="L1028" s="13" t="s">
        <v>3374</v>
      </c>
      <c r="M1028" s="12">
        <v>536</v>
      </c>
      <c r="N1028" s="14">
        <v>0.76</v>
      </c>
      <c r="O1028" s="12">
        <v>150</v>
      </c>
      <c r="P1028" s="12">
        <v>220</v>
      </c>
      <c r="Q1028" s="12">
        <v>6</v>
      </c>
      <c r="R1028" s="13" t="s">
        <v>43</v>
      </c>
      <c r="S1028" s="13"/>
      <c r="T1028" s="15">
        <v>1500</v>
      </c>
      <c r="U1028" s="13" t="s">
        <v>52</v>
      </c>
      <c r="V1028" s="13" t="s">
        <v>59</v>
      </c>
      <c r="W1028" s="12">
        <v>10</v>
      </c>
      <c r="X1028" s="33" t="str">
        <f>HYPERLINK("https://www.alpinabook.ru/catalog/book-srednevekovaya-evropa","ссылка на книгу")</f>
        <v>ссылка на книгу</v>
      </c>
      <c r="Y1028" s="34" t="str">
        <f>HYPERLINK("https://api-enni.alpina.ru/FilePrivilegesApproval/145","https://api-enni.alpina.ru/FilePrivilegesApproval/145")</f>
        <v>https://api-enni.alpina.ru/FilePrivilegesApproval/145</v>
      </c>
      <c r="Z1028" s="13" t="s">
        <v>1413</v>
      </c>
      <c r="AT1028" s="1">
        <f t="shared" si="158"/>
        <v>0</v>
      </c>
      <c r="AU1028" s="1">
        <f t="shared" si="159"/>
        <v>0</v>
      </c>
      <c r="AV1028" s="1">
        <f t="shared" si="160"/>
        <v>0</v>
      </c>
      <c r="AW1028" s="1">
        <f t="shared" si="161"/>
        <v>0</v>
      </c>
      <c r="AX1028" s="1">
        <f t="shared" si="162"/>
        <v>0</v>
      </c>
    </row>
    <row r="1029" spans="1:50" s="1" customFormat="1" ht="24.95" customHeight="1" outlineLevel="3" x14ac:dyDescent="0.2">
      <c r="A1029" s="11"/>
      <c r="B1029" s="12">
        <v>940</v>
      </c>
      <c r="C1029" s="15">
        <v>1190</v>
      </c>
      <c r="D1029" s="12">
        <v>31222</v>
      </c>
      <c r="E1029" s="13" t="s">
        <v>3375</v>
      </c>
      <c r="F1029" s="13" t="s">
        <v>3376</v>
      </c>
      <c r="G1029" s="13" t="s">
        <v>86</v>
      </c>
      <c r="H1029" s="13"/>
      <c r="I1029" s="12">
        <v>2025</v>
      </c>
      <c r="J1029" s="13" t="s">
        <v>3377</v>
      </c>
      <c r="K1029" s="12">
        <v>9785002233557</v>
      </c>
      <c r="L1029" s="13" t="s">
        <v>3378</v>
      </c>
      <c r="M1029" s="12">
        <v>640</v>
      </c>
      <c r="N1029" s="14">
        <v>0.84</v>
      </c>
      <c r="O1029" s="12">
        <v>150</v>
      </c>
      <c r="P1029" s="12">
        <v>220</v>
      </c>
      <c r="Q1029" s="12">
        <v>3</v>
      </c>
      <c r="R1029" s="13" t="s">
        <v>43</v>
      </c>
      <c r="S1029" s="13"/>
      <c r="T1029" s="15">
        <v>1500</v>
      </c>
      <c r="U1029" s="13" t="s">
        <v>52</v>
      </c>
      <c r="V1029" s="13" t="s">
        <v>45</v>
      </c>
      <c r="W1029" s="12">
        <v>10</v>
      </c>
      <c r="X1029" s="33" t="str">
        <f>HYPERLINK("https://www.alpinabook.ru/catalog/book-tachanki-s-yuga","ссылка на книгу")</f>
        <v>ссылка на книгу</v>
      </c>
      <c r="Y1029" s="34" t="str">
        <f>HYPERLINK("https://api-enni.alpina.ru/FilePrivilegesApproval/763","https://api-enni.alpina.ru/FilePrivilegesApproval/763")</f>
        <v>https://api-enni.alpina.ru/FilePrivilegesApproval/763</v>
      </c>
      <c r="Z1029" s="13" t="s">
        <v>1918</v>
      </c>
      <c r="AT1029" s="1">
        <f t="shared" ref="AT1029:AT1036" si="163">IF($A1029&lt;&gt;0,1,0)</f>
        <v>0</v>
      </c>
      <c r="AU1029" s="1">
        <f t="shared" ref="AU1029:AU1036" si="164">$A1029*$B1029</f>
        <v>0</v>
      </c>
      <c r="AV1029" s="1">
        <f t="shared" ref="AV1029:AV1036" si="165">$A1029*$N1029</f>
        <v>0</v>
      </c>
      <c r="AW1029" s="1">
        <f t="shared" ref="AW1029:AW1036" si="166">IF($Q1029=0,0,INT($A1029/$Q1029))</f>
        <v>0</v>
      </c>
      <c r="AX1029" s="1">
        <f t="shared" ref="AX1029:AX1036" si="167">$A1029-$AW1029*$Q1029</f>
        <v>0</v>
      </c>
    </row>
    <row r="1030" spans="1:50" s="1" customFormat="1" ht="24.95" customHeight="1" outlineLevel="3" x14ac:dyDescent="0.2">
      <c r="A1030" s="11"/>
      <c r="B1030" s="12">
        <v>740</v>
      </c>
      <c r="C1030" s="15">
        <v>1090</v>
      </c>
      <c r="D1030" s="12">
        <v>23412</v>
      </c>
      <c r="E1030" s="13" t="s">
        <v>3379</v>
      </c>
      <c r="F1030" s="13" t="s">
        <v>3380</v>
      </c>
      <c r="G1030" s="13" t="s">
        <v>56</v>
      </c>
      <c r="H1030" s="13" t="s">
        <v>40</v>
      </c>
      <c r="I1030" s="12">
        <v>2025</v>
      </c>
      <c r="J1030" s="13" t="s">
        <v>3381</v>
      </c>
      <c r="K1030" s="12">
        <v>9785961486537</v>
      </c>
      <c r="L1030" s="13" t="s">
        <v>3382</v>
      </c>
      <c r="M1030" s="12">
        <v>453</v>
      </c>
      <c r="N1030" s="14">
        <v>0.63</v>
      </c>
      <c r="O1030" s="12">
        <v>150</v>
      </c>
      <c r="P1030" s="12">
        <v>220</v>
      </c>
      <c r="Q1030" s="12">
        <v>4</v>
      </c>
      <c r="R1030" s="13" t="s">
        <v>43</v>
      </c>
      <c r="S1030" s="13"/>
      <c r="T1030" s="15">
        <v>1000</v>
      </c>
      <c r="U1030" s="13" t="s">
        <v>52</v>
      </c>
      <c r="V1030" s="13" t="s">
        <v>45</v>
      </c>
      <c r="W1030" s="12">
        <v>10</v>
      </c>
      <c r="X1030" s="33" t="str">
        <f>HYPERLINK("https://www.alpinabook.ru/catalog/book-tysyachelikaya-geroinya","ссылка на книгу")</f>
        <v>ссылка на книгу</v>
      </c>
      <c r="Y1030" s="34" t="str">
        <f>HYPERLINK("https://api-enni.alpina.ru/FilePrivilegesApproval/210","https://api-enni.alpina.ru/FilePrivilegesApproval/210")</f>
        <v>https://api-enni.alpina.ru/FilePrivilegesApproval/210</v>
      </c>
      <c r="Z1030" s="13" t="s">
        <v>2940</v>
      </c>
      <c r="AT1030" s="1">
        <f t="shared" si="163"/>
        <v>0</v>
      </c>
      <c r="AU1030" s="1">
        <f t="shared" si="164"/>
        <v>0</v>
      </c>
      <c r="AV1030" s="1">
        <f t="shared" si="165"/>
        <v>0</v>
      </c>
      <c r="AW1030" s="1">
        <f t="shared" si="166"/>
        <v>0</v>
      </c>
      <c r="AX1030" s="1">
        <f t="shared" si="167"/>
        <v>0</v>
      </c>
    </row>
    <row r="1031" spans="1:50" s="1" customFormat="1" ht="24.95" customHeight="1" outlineLevel="3" x14ac:dyDescent="0.2">
      <c r="A1031" s="11"/>
      <c r="B1031" s="12">
        <v>690</v>
      </c>
      <c r="C1031" s="12">
        <v>990</v>
      </c>
      <c r="D1031" s="12">
        <v>19206</v>
      </c>
      <c r="E1031" s="13" t="s">
        <v>3383</v>
      </c>
      <c r="F1031" s="13" t="s">
        <v>3384</v>
      </c>
      <c r="G1031" s="13" t="s">
        <v>86</v>
      </c>
      <c r="H1031" s="13" t="s">
        <v>40</v>
      </c>
      <c r="I1031" s="12">
        <v>2024</v>
      </c>
      <c r="J1031" s="13" t="s">
        <v>3385</v>
      </c>
      <c r="K1031" s="12">
        <v>9785002230617</v>
      </c>
      <c r="L1031" s="13" t="s">
        <v>3386</v>
      </c>
      <c r="M1031" s="12">
        <v>389</v>
      </c>
      <c r="N1031" s="14">
        <v>0.4</v>
      </c>
      <c r="O1031" s="12">
        <v>140</v>
      </c>
      <c r="P1031" s="12">
        <v>210</v>
      </c>
      <c r="Q1031" s="12">
        <v>16</v>
      </c>
      <c r="R1031" s="13" t="s">
        <v>43</v>
      </c>
      <c r="S1031" s="13"/>
      <c r="T1031" s="15">
        <v>2000</v>
      </c>
      <c r="U1031" s="13" t="s">
        <v>44</v>
      </c>
      <c r="V1031" s="13" t="s">
        <v>45</v>
      </c>
      <c r="W1031" s="12">
        <v>10</v>
      </c>
      <c r="X1031" s="33" t="str">
        <f>HYPERLINK("https://www.alpinabook.ru/catalog/book-feminizmy","ссылка на книгу")</f>
        <v>ссылка на книгу</v>
      </c>
      <c r="Y1031" s="34" t="str">
        <f>HYPERLINK("https://api-enni.alpina.ru/FilePrivilegesApproval/312","https://api-enni.alpina.ru/FilePrivilegesApproval/312")</f>
        <v>https://api-enni.alpina.ru/FilePrivilegesApproval/312</v>
      </c>
      <c r="Z1031" s="13"/>
      <c r="AT1031" s="1">
        <f t="shared" si="163"/>
        <v>0</v>
      </c>
      <c r="AU1031" s="1">
        <f t="shared" si="164"/>
        <v>0</v>
      </c>
      <c r="AV1031" s="1">
        <f t="shared" si="165"/>
        <v>0</v>
      </c>
      <c r="AW1031" s="1">
        <f t="shared" si="166"/>
        <v>0</v>
      </c>
      <c r="AX1031" s="1">
        <f t="shared" si="167"/>
        <v>0</v>
      </c>
    </row>
    <row r="1032" spans="1:50" s="1" customFormat="1" ht="24.95" customHeight="1" outlineLevel="3" x14ac:dyDescent="0.2">
      <c r="A1032" s="11"/>
      <c r="B1032" s="12">
        <v>720</v>
      </c>
      <c r="C1032" s="15">
        <v>1090</v>
      </c>
      <c r="D1032" s="12">
        <v>25428</v>
      </c>
      <c r="E1032" s="13" t="s">
        <v>339</v>
      </c>
      <c r="F1032" s="13" t="s">
        <v>3387</v>
      </c>
      <c r="G1032" s="13" t="s">
        <v>86</v>
      </c>
      <c r="H1032" s="13"/>
      <c r="I1032" s="12">
        <v>2024</v>
      </c>
      <c r="J1032" s="13" t="s">
        <v>3388</v>
      </c>
      <c r="K1032" s="12">
        <v>9785001397052</v>
      </c>
      <c r="L1032" s="13" t="s">
        <v>3389</v>
      </c>
      <c r="M1032" s="12">
        <v>220</v>
      </c>
      <c r="N1032" s="14">
        <v>0.43</v>
      </c>
      <c r="O1032" s="12">
        <v>170</v>
      </c>
      <c r="P1032" s="12">
        <v>230</v>
      </c>
      <c r="Q1032" s="12">
        <v>10</v>
      </c>
      <c r="R1032" s="13" t="s">
        <v>100</v>
      </c>
      <c r="S1032" s="13"/>
      <c r="T1032" s="15">
        <v>1500</v>
      </c>
      <c r="U1032" s="13" t="s">
        <v>52</v>
      </c>
      <c r="V1032" s="13" t="s">
        <v>45</v>
      </c>
      <c r="W1032" s="12">
        <v>10</v>
      </c>
      <c r="X1032" s="33" t="str">
        <f>HYPERLINK("https://www.alpinabook.ru/catalog/book-hrebet-rossii","ссылка на книгу")</f>
        <v>ссылка на книгу</v>
      </c>
      <c r="Y1032" s="34" t="str">
        <f>HYPERLINK("https://api-enni.alpina.ru/FilePrivilegesApproval/145","https://api-enni.alpina.ru/FilePrivilegesApproval/145")</f>
        <v>https://api-enni.alpina.ru/FilePrivilegesApproval/145</v>
      </c>
      <c r="Z1032" s="13"/>
      <c r="AT1032" s="1">
        <f t="shared" si="163"/>
        <v>0</v>
      </c>
      <c r="AU1032" s="1">
        <f t="shared" si="164"/>
        <v>0</v>
      </c>
      <c r="AV1032" s="1">
        <f t="shared" si="165"/>
        <v>0</v>
      </c>
      <c r="AW1032" s="1">
        <f t="shared" si="166"/>
        <v>0</v>
      </c>
      <c r="AX1032" s="1">
        <f t="shared" si="167"/>
        <v>0</v>
      </c>
    </row>
    <row r="1033" spans="1:50" s="1" customFormat="1" ht="24.95" customHeight="1" outlineLevel="3" x14ac:dyDescent="0.2">
      <c r="A1033" s="11"/>
      <c r="B1033" s="12">
        <v>740</v>
      </c>
      <c r="C1033" s="15">
        <v>1090</v>
      </c>
      <c r="D1033" s="12">
        <v>30363</v>
      </c>
      <c r="E1033" s="13" t="s">
        <v>3390</v>
      </c>
      <c r="F1033" s="13" t="s">
        <v>3391</v>
      </c>
      <c r="G1033" s="13" t="s">
        <v>86</v>
      </c>
      <c r="H1033" s="13"/>
      <c r="I1033" s="12">
        <v>2025</v>
      </c>
      <c r="J1033" s="13" t="s">
        <v>3392</v>
      </c>
      <c r="K1033" s="12">
        <v>9785002232482</v>
      </c>
      <c r="L1033" s="13" t="s">
        <v>3393</v>
      </c>
      <c r="M1033" s="12">
        <v>332</v>
      </c>
      <c r="N1033" s="14">
        <v>0.39</v>
      </c>
      <c r="O1033" s="12">
        <v>150</v>
      </c>
      <c r="P1033" s="12">
        <v>220</v>
      </c>
      <c r="Q1033" s="12">
        <v>10</v>
      </c>
      <c r="R1033" s="13" t="s">
        <v>43</v>
      </c>
      <c r="S1033" s="13"/>
      <c r="T1033" s="15">
        <v>2000</v>
      </c>
      <c r="U1033" s="13" t="s">
        <v>52</v>
      </c>
      <c r="V1033" s="13" t="s">
        <v>45</v>
      </c>
      <c r="W1033" s="12">
        <v>10</v>
      </c>
      <c r="X1033" s="33" t="str">
        <f>HYPERLINK("https://www.alpinabook.ru/catalog/book-khronika-s-otkrytym-finalom","ссылка на книгу")</f>
        <v>ссылка на книгу</v>
      </c>
      <c r="Y1033" s="34" t="str">
        <f>HYPERLINK("https://api-enni.alpina.ru/FilePrivilegesApproval/838","https://api-enni.alpina.ru/FilePrivilegesApproval/838")</f>
        <v>https://api-enni.alpina.ru/FilePrivilegesApproval/838</v>
      </c>
      <c r="Z1033" s="13" t="s">
        <v>277</v>
      </c>
      <c r="AT1033" s="1">
        <f t="shared" si="163"/>
        <v>0</v>
      </c>
      <c r="AU1033" s="1">
        <f t="shared" si="164"/>
        <v>0</v>
      </c>
      <c r="AV1033" s="1">
        <f t="shared" si="165"/>
        <v>0</v>
      </c>
      <c r="AW1033" s="1">
        <f t="shared" si="166"/>
        <v>0</v>
      </c>
      <c r="AX1033" s="1">
        <f t="shared" si="167"/>
        <v>0</v>
      </c>
    </row>
    <row r="1034" spans="1:50" s="1" customFormat="1" ht="24.95" customHeight="1" outlineLevel="3" x14ac:dyDescent="0.2">
      <c r="A1034" s="11"/>
      <c r="B1034" s="12">
        <v>840</v>
      </c>
      <c r="C1034" s="15">
        <v>1290</v>
      </c>
      <c r="D1034" s="12">
        <v>25242</v>
      </c>
      <c r="E1034" s="13" t="s">
        <v>3394</v>
      </c>
      <c r="F1034" s="13" t="s">
        <v>3395</v>
      </c>
      <c r="G1034" s="13" t="s">
        <v>86</v>
      </c>
      <c r="H1034" s="13" t="s">
        <v>40</v>
      </c>
      <c r="I1034" s="12">
        <v>2025</v>
      </c>
      <c r="J1034" s="13" t="s">
        <v>3396</v>
      </c>
      <c r="K1034" s="12">
        <v>9785001396536</v>
      </c>
      <c r="L1034" s="13" t="s">
        <v>3397</v>
      </c>
      <c r="M1034" s="12">
        <v>560</v>
      </c>
      <c r="N1034" s="14">
        <v>0.75</v>
      </c>
      <c r="O1034" s="12">
        <v>170</v>
      </c>
      <c r="P1034" s="12">
        <v>240</v>
      </c>
      <c r="Q1034" s="12">
        <v>5</v>
      </c>
      <c r="R1034" s="13" t="s">
        <v>94</v>
      </c>
      <c r="S1034" s="13"/>
      <c r="T1034" s="15">
        <v>2500</v>
      </c>
      <c r="U1034" s="13" t="s">
        <v>52</v>
      </c>
      <c r="V1034" s="13" t="s">
        <v>59</v>
      </c>
      <c r="W1034" s="12">
        <v>10</v>
      </c>
      <c r="X1034" s="33" t="str">
        <f>HYPERLINK("https://www.alpinabook.ru/catalog/book-tsentralnaya-aziya","ссылка на книгу")</f>
        <v>ссылка на книгу</v>
      </c>
      <c r="Y1034" s="34" t="str">
        <f>HYPERLINK("https://api-enni.alpina.ru/FilePrivilegesApproval/377","https://api-enni.alpina.ru/FilePrivilegesApproval/377")</f>
        <v>https://api-enni.alpina.ru/FilePrivilegesApproval/377</v>
      </c>
      <c r="Z1034" s="13" t="s">
        <v>1413</v>
      </c>
      <c r="AT1034" s="1">
        <f t="shared" si="163"/>
        <v>0</v>
      </c>
      <c r="AU1034" s="1">
        <f t="shared" si="164"/>
        <v>0</v>
      </c>
      <c r="AV1034" s="1">
        <f t="shared" si="165"/>
        <v>0</v>
      </c>
      <c r="AW1034" s="1">
        <f t="shared" si="166"/>
        <v>0</v>
      </c>
      <c r="AX1034" s="1">
        <f t="shared" si="167"/>
        <v>0</v>
      </c>
    </row>
    <row r="1035" spans="1:50" s="1" customFormat="1" ht="24.95" customHeight="1" outlineLevel="3" x14ac:dyDescent="0.2">
      <c r="A1035" s="11"/>
      <c r="B1035" s="12">
        <v>850</v>
      </c>
      <c r="C1035" s="15">
        <v>1290</v>
      </c>
      <c r="D1035" s="12">
        <v>12297</v>
      </c>
      <c r="E1035" s="13" t="s">
        <v>3398</v>
      </c>
      <c r="F1035" s="13" t="s">
        <v>3399</v>
      </c>
      <c r="G1035" s="13" t="s">
        <v>86</v>
      </c>
      <c r="H1035" s="13" t="s">
        <v>40</v>
      </c>
      <c r="I1035" s="12">
        <v>2025</v>
      </c>
      <c r="J1035" s="13" t="s">
        <v>3400</v>
      </c>
      <c r="K1035" s="12">
        <v>9785002234363</v>
      </c>
      <c r="L1035" s="13" t="s">
        <v>3401</v>
      </c>
      <c r="M1035" s="12">
        <v>640</v>
      </c>
      <c r="N1035" s="14">
        <v>0.66</v>
      </c>
      <c r="O1035" s="12">
        <v>150</v>
      </c>
      <c r="P1035" s="12">
        <v>220</v>
      </c>
      <c r="Q1035" s="12">
        <v>8</v>
      </c>
      <c r="R1035" s="13" t="s">
        <v>43</v>
      </c>
      <c r="S1035" s="13"/>
      <c r="T1035" s="15">
        <v>1500</v>
      </c>
      <c r="U1035" s="13" t="s">
        <v>52</v>
      </c>
      <c r="V1035" s="13" t="s">
        <v>59</v>
      </c>
      <c r="W1035" s="12">
        <v>10</v>
      </c>
      <c r="X1035" s="33" t="str">
        <f>HYPERLINK("https://www.alpinabook.ru/catalog/book-tsivilizatsiya-rasskazchikov","ссылка на книгу")</f>
        <v>ссылка на книгу</v>
      </c>
      <c r="Y1035" s="34" t="str">
        <f>HYPERLINK("https://api-enni.alpina.ru/FilePrivilegesApproval/788","https://api-enni.alpina.ru/FilePrivilegesApproval/788")</f>
        <v>https://api-enni.alpina.ru/FilePrivilegesApproval/788</v>
      </c>
      <c r="Z1035" s="13" t="s">
        <v>277</v>
      </c>
      <c r="AT1035" s="1">
        <f t="shared" si="163"/>
        <v>0</v>
      </c>
      <c r="AU1035" s="1">
        <f t="shared" si="164"/>
        <v>0</v>
      </c>
      <c r="AV1035" s="1">
        <f t="shared" si="165"/>
        <v>0</v>
      </c>
      <c r="AW1035" s="1">
        <f t="shared" si="166"/>
        <v>0</v>
      </c>
      <c r="AX1035" s="1">
        <f t="shared" si="167"/>
        <v>0</v>
      </c>
    </row>
    <row r="1036" spans="1:50" s="1" customFormat="1" ht="24.95" customHeight="1" outlineLevel="3" x14ac:dyDescent="0.2">
      <c r="A1036" s="11"/>
      <c r="B1036" s="12">
        <v>790</v>
      </c>
      <c r="C1036" s="15">
        <v>1190</v>
      </c>
      <c r="D1036" s="12">
        <v>28229</v>
      </c>
      <c r="E1036" s="13" t="s">
        <v>3402</v>
      </c>
      <c r="F1036" s="13" t="s">
        <v>3403</v>
      </c>
      <c r="G1036" s="13" t="s">
        <v>86</v>
      </c>
      <c r="H1036" s="13" t="s">
        <v>40</v>
      </c>
      <c r="I1036" s="12">
        <v>2023</v>
      </c>
      <c r="J1036" s="13" t="s">
        <v>3404</v>
      </c>
      <c r="K1036" s="12">
        <v>9785916713886</v>
      </c>
      <c r="L1036" s="13" t="s">
        <v>3405</v>
      </c>
      <c r="M1036" s="12">
        <v>680</v>
      </c>
      <c r="N1036" s="14">
        <v>0.83</v>
      </c>
      <c r="O1036" s="12">
        <v>140</v>
      </c>
      <c r="P1036" s="12">
        <v>210</v>
      </c>
      <c r="Q1036" s="12">
        <v>6</v>
      </c>
      <c r="R1036" s="13" t="s">
        <v>43</v>
      </c>
      <c r="S1036" s="13"/>
      <c r="T1036" s="15">
        <v>2000</v>
      </c>
      <c r="U1036" s="13" t="s">
        <v>44</v>
      </c>
      <c r="V1036" s="13" t="s">
        <v>59</v>
      </c>
      <c r="W1036" s="12">
        <v>10</v>
      </c>
      <c r="X1036" s="33" t="str">
        <f>HYPERLINK("https://www.alpinabook.ru/catalog/book-epokha-zavoevaniy","ссылка на книгу")</f>
        <v>ссылка на книгу</v>
      </c>
      <c r="Y1036" s="34" t="str">
        <f>HYPERLINK("https://api-enni.alpina.ru/FilePrivilegesApproval/255","https://api-enni.alpina.ru/FilePrivilegesApproval/255")</f>
        <v>https://api-enni.alpina.ru/FilePrivilegesApproval/255</v>
      </c>
      <c r="Z1036" s="13"/>
      <c r="AT1036" s="1">
        <f t="shared" si="163"/>
        <v>0</v>
      </c>
      <c r="AU1036" s="1">
        <f t="shared" si="164"/>
        <v>0</v>
      </c>
      <c r="AV1036" s="1">
        <f t="shared" si="165"/>
        <v>0</v>
      </c>
      <c r="AW1036" s="1">
        <f t="shared" si="166"/>
        <v>0</v>
      </c>
      <c r="AX1036" s="1">
        <f t="shared" si="167"/>
        <v>0</v>
      </c>
    </row>
    <row r="1037" spans="1:50" ht="11.1" customHeight="1" outlineLevel="2" x14ac:dyDescent="0.2">
      <c r="A1037" s="40" t="s">
        <v>3406</v>
      </c>
      <c r="B1037" s="40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20"/>
    </row>
    <row r="1038" spans="1:50" s="1" customFormat="1" ht="24.95" customHeight="1" outlineLevel="3" x14ac:dyDescent="0.2">
      <c r="A1038" s="11"/>
      <c r="B1038" s="12">
        <v>790</v>
      </c>
      <c r="C1038" s="12">
        <v>790</v>
      </c>
      <c r="D1038" s="12">
        <v>23921</v>
      </c>
      <c r="E1038" s="13" t="s">
        <v>3407</v>
      </c>
      <c r="F1038" s="13" t="s">
        <v>3408</v>
      </c>
      <c r="G1038" s="13" t="s">
        <v>86</v>
      </c>
      <c r="H1038" s="13" t="s">
        <v>40</v>
      </c>
      <c r="I1038" s="12">
        <v>2022</v>
      </c>
      <c r="J1038" s="13" t="s">
        <v>3409</v>
      </c>
      <c r="K1038" s="12">
        <v>9785001396079</v>
      </c>
      <c r="L1038" s="13" t="s">
        <v>3410</v>
      </c>
      <c r="M1038" s="12">
        <v>424</v>
      </c>
      <c r="N1038" s="14">
        <v>0.5</v>
      </c>
      <c r="O1038" s="12">
        <v>141</v>
      </c>
      <c r="P1038" s="12">
        <v>210</v>
      </c>
      <c r="Q1038" s="12">
        <v>10</v>
      </c>
      <c r="R1038" s="13" t="s">
        <v>43</v>
      </c>
      <c r="S1038" s="13"/>
      <c r="T1038" s="15">
        <v>3000</v>
      </c>
      <c r="U1038" s="13" t="s">
        <v>44</v>
      </c>
      <c r="V1038" s="13" t="s">
        <v>45</v>
      </c>
      <c r="W1038" s="12">
        <v>10</v>
      </c>
      <c r="X1038" s="33" t="str">
        <f>HYPERLINK("https://www.alpinabook.ru/catalog/book-1000-let-radostey-i-pechaley","ссылка на книгу")</f>
        <v>ссылка на книгу</v>
      </c>
      <c r="Y1038" s="34" t="str">
        <f>HYPERLINK("https://api-enni.alpina.ru/FilePrivilegesApproval/197","https://api-enni.alpina.ru/FilePrivilegesApproval/197")</f>
        <v>https://api-enni.alpina.ru/FilePrivilegesApproval/197</v>
      </c>
      <c r="Z1038" s="13"/>
      <c r="AT1038" s="1">
        <f t="shared" ref="AT1038:AT1073" si="168">IF($A1038&lt;&gt;0,1,0)</f>
        <v>0</v>
      </c>
      <c r="AU1038" s="1">
        <f t="shared" ref="AU1038:AU1073" si="169">$A1038*$B1038</f>
        <v>0</v>
      </c>
      <c r="AV1038" s="1">
        <f t="shared" ref="AV1038:AV1073" si="170">$A1038*$N1038</f>
        <v>0</v>
      </c>
      <c r="AW1038" s="1">
        <f t="shared" ref="AW1038:AW1073" si="171">IF($Q1038=0,0,INT($A1038/$Q1038))</f>
        <v>0</v>
      </c>
      <c r="AX1038" s="1">
        <f t="shared" ref="AX1038:AX1073" si="172">$A1038-$AW1038*$Q1038</f>
        <v>0</v>
      </c>
    </row>
    <row r="1039" spans="1:50" s="1" customFormat="1" ht="24.95" customHeight="1" outlineLevel="3" x14ac:dyDescent="0.2">
      <c r="A1039" s="11"/>
      <c r="B1039" s="12">
        <v>640</v>
      </c>
      <c r="C1039" s="12">
        <v>940</v>
      </c>
      <c r="D1039" s="12">
        <v>26460</v>
      </c>
      <c r="E1039" s="13" t="s">
        <v>3411</v>
      </c>
      <c r="F1039" s="13" t="s">
        <v>3412</v>
      </c>
      <c r="G1039" s="13" t="s">
        <v>86</v>
      </c>
      <c r="H1039" s="13"/>
      <c r="I1039" s="12">
        <v>2023</v>
      </c>
      <c r="J1039" s="13" t="s">
        <v>3413</v>
      </c>
      <c r="K1039" s="12">
        <v>9785001397717</v>
      </c>
      <c r="L1039" s="13" t="s">
        <v>3414</v>
      </c>
      <c r="M1039" s="12">
        <v>464</v>
      </c>
      <c r="N1039" s="14">
        <v>0.6</v>
      </c>
      <c r="O1039" s="12">
        <v>150</v>
      </c>
      <c r="P1039" s="12">
        <v>210</v>
      </c>
      <c r="Q1039" s="12">
        <v>10</v>
      </c>
      <c r="R1039" s="13" t="s">
        <v>43</v>
      </c>
      <c r="S1039" s="13"/>
      <c r="T1039" s="15">
        <v>1500</v>
      </c>
      <c r="U1039" s="13" t="s">
        <v>44</v>
      </c>
      <c r="V1039" s="13" t="s">
        <v>59</v>
      </c>
      <c r="W1039" s="12">
        <v>10</v>
      </c>
      <c r="X1039" s="33" t="str">
        <f>HYPERLINK("https://www.alpinabook.ru/catalog/book-bunin-i-nabokov-uchenichestvo-masterstvo-sopernichestvo","ссылка на книгу")</f>
        <v>ссылка на книгу</v>
      </c>
      <c r="Y1039" s="34" t="str">
        <f>HYPERLINK("https://api-enni.alpina.ru/FilePrivilegesApproval/281","https://api-enni.alpina.ru/FilePrivilegesApproval/281")</f>
        <v>https://api-enni.alpina.ru/FilePrivilegesApproval/281</v>
      </c>
      <c r="Z1039" s="13"/>
      <c r="AT1039" s="1">
        <f t="shared" si="168"/>
        <v>0</v>
      </c>
      <c r="AU1039" s="1">
        <f t="shared" si="169"/>
        <v>0</v>
      </c>
      <c r="AV1039" s="1">
        <f t="shared" si="170"/>
        <v>0</v>
      </c>
      <c r="AW1039" s="1">
        <f t="shared" si="171"/>
        <v>0</v>
      </c>
      <c r="AX1039" s="1">
        <f t="shared" si="172"/>
        <v>0</v>
      </c>
    </row>
    <row r="1040" spans="1:50" s="1" customFormat="1" ht="24.95" customHeight="1" outlineLevel="3" x14ac:dyDescent="0.2">
      <c r="A1040" s="11"/>
      <c r="B1040" s="12">
        <v>590</v>
      </c>
      <c r="C1040" s="12">
        <v>590</v>
      </c>
      <c r="D1040" s="12">
        <v>18067</v>
      </c>
      <c r="E1040" s="13" t="s">
        <v>339</v>
      </c>
      <c r="F1040" s="13" t="s">
        <v>3415</v>
      </c>
      <c r="G1040" s="13" t="s">
        <v>86</v>
      </c>
      <c r="H1040" s="13"/>
      <c r="I1040" s="12">
        <v>2020</v>
      </c>
      <c r="J1040" s="13" t="s">
        <v>3416</v>
      </c>
      <c r="K1040" s="12">
        <v>9785001392538</v>
      </c>
      <c r="L1040" s="13" t="s">
        <v>3417</v>
      </c>
      <c r="M1040" s="12">
        <v>336</v>
      </c>
      <c r="N1040" s="14">
        <v>0.6</v>
      </c>
      <c r="O1040" s="12">
        <v>168</v>
      </c>
      <c r="P1040" s="12">
        <v>221</v>
      </c>
      <c r="Q1040" s="12">
        <v>6</v>
      </c>
      <c r="R1040" s="13" t="s">
        <v>100</v>
      </c>
      <c r="S1040" s="13"/>
      <c r="T1040" s="15">
        <v>7000</v>
      </c>
      <c r="U1040" s="13" t="s">
        <v>52</v>
      </c>
      <c r="V1040" s="13" t="s">
        <v>45</v>
      </c>
      <c r="W1040" s="12">
        <v>10</v>
      </c>
      <c r="X1040" s="33" t="str">
        <f>HYPERLINK("https://www.alpinabook.ru/catalog/book-612940","ссылка на книгу")</f>
        <v>ссылка на книгу</v>
      </c>
      <c r="Y1040" s="34" t="str">
        <f>HYPERLINK("https://api-enni.alpina.ru/FilePrivilegesApproval/262","https://api-enni.alpina.ru/FilePrivilegesApproval/262")</f>
        <v>https://api-enni.alpina.ru/FilePrivilegesApproval/262</v>
      </c>
      <c r="Z1040" s="13"/>
      <c r="AT1040" s="1">
        <f t="shared" si="168"/>
        <v>0</v>
      </c>
      <c r="AU1040" s="1">
        <f t="shared" si="169"/>
        <v>0</v>
      </c>
      <c r="AV1040" s="1">
        <f t="shared" si="170"/>
        <v>0</v>
      </c>
      <c r="AW1040" s="1">
        <f t="shared" si="171"/>
        <v>0</v>
      </c>
      <c r="AX1040" s="1">
        <f t="shared" si="172"/>
        <v>0</v>
      </c>
    </row>
    <row r="1041" spans="1:50" s="1" customFormat="1" ht="24.95" customHeight="1" outlineLevel="3" x14ac:dyDescent="0.2">
      <c r="A1041" s="26"/>
      <c r="B1041" s="27">
        <v>490</v>
      </c>
      <c r="C1041" s="27">
        <v>490</v>
      </c>
      <c r="D1041" s="27">
        <v>24789</v>
      </c>
      <c r="E1041" s="29" t="s">
        <v>3411</v>
      </c>
      <c r="F1041" s="29" t="s">
        <v>3418</v>
      </c>
      <c r="G1041" s="29" t="s">
        <v>86</v>
      </c>
      <c r="H1041" s="29" t="s">
        <v>40</v>
      </c>
      <c r="I1041" s="27">
        <v>2022</v>
      </c>
      <c r="J1041" s="29" t="s">
        <v>3419</v>
      </c>
      <c r="K1041" s="27">
        <v>9785001396147</v>
      </c>
      <c r="L1041" s="29" t="s">
        <v>3420</v>
      </c>
      <c r="M1041" s="27">
        <v>324</v>
      </c>
      <c r="N1041" s="30">
        <v>0.42</v>
      </c>
      <c r="O1041" s="27">
        <v>133</v>
      </c>
      <c r="P1041" s="27">
        <v>206</v>
      </c>
      <c r="Q1041" s="27">
        <v>12</v>
      </c>
      <c r="R1041" s="29" t="s">
        <v>82</v>
      </c>
      <c r="S1041" s="29"/>
      <c r="T1041" s="28">
        <v>1000</v>
      </c>
      <c r="U1041" s="29" t="s">
        <v>52</v>
      </c>
      <c r="V1041" s="29" t="s">
        <v>64</v>
      </c>
      <c r="W1041" s="27">
        <v>10</v>
      </c>
      <c r="X1041" s="37" t="str">
        <f>HYPERLINK("https://www.alpinabook.ru/catalog/book-v-ozhidanii-ameriki","ссылка на книгу")</f>
        <v>ссылка на книгу</v>
      </c>
      <c r="Y1041" s="38" t="str">
        <f>HYPERLINK("https://api-enni.alpina.ru/FilePrivilegesApproval/131","https://api-enni.alpina.ru/FilePrivilegesApproval/131")</f>
        <v>https://api-enni.alpina.ru/FilePrivilegesApproval/131</v>
      </c>
      <c r="Z1041" s="29"/>
      <c r="AT1041" s="1">
        <f t="shared" si="168"/>
        <v>0</v>
      </c>
      <c r="AU1041" s="1">
        <f t="shared" si="169"/>
        <v>0</v>
      </c>
      <c r="AV1041" s="1">
        <f t="shared" si="170"/>
        <v>0</v>
      </c>
      <c r="AW1041" s="1">
        <f t="shared" si="171"/>
        <v>0</v>
      </c>
      <c r="AX1041" s="1">
        <f t="shared" si="172"/>
        <v>0</v>
      </c>
    </row>
    <row r="1042" spans="1:50" s="1" customFormat="1" ht="24.95" customHeight="1" outlineLevel="3" x14ac:dyDescent="0.2">
      <c r="A1042" s="26"/>
      <c r="B1042" s="27">
        <v>790</v>
      </c>
      <c r="C1042" s="28">
        <v>1190</v>
      </c>
      <c r="D1042" s="27">
        <v>23905</v>
      </c>
      <c r="E1042" s="29" t="s">
        <v>339</v>
      </c>
      <c r="F1042" s="29" t="s">
        <v>3421</v>
      </c>
      <c r="G1042" s="29" t="s">
        <v>86</v>
      </c>
      <c r="H1042" s="29"/>
      <c r="I1042" s="27">
        <v>2023</v>
      </c>
      <c r="J1042" s="29" t="s">
        <v>3422</v>
      </c>
      <c r="K1042" s="27">
        <v>9785001395201</v>
      </c>
      <c r="L1042" s="29" t="s">
        <v>3423</v>
      </c>
      <c r="M1042" s="27">
        <v>456</v>
      </c>
      <c r="N1042" s="30">
        <v>0.75</v>
      </c>
      <c r="O1042" s="27">
        <v>170</v>
      </c>
      <c r="P1042" s="27">
        <v>230</v>
      </c>
      <c r="Q1042" s="27">
        <v>5</v>
      </c>
      <c r="R1042" s="29" t="s">
        <v>100</v>
      </c>
      <c r="S1042" s="29"/>
      <c r="T1042" s="28">
        <v>1500</v>
      </c>
      <c r="U1042" s="29" t="s">
        <v>52</v>
      </c>
      <c r="V1042" s="29" t="s">
        <v>45</v>
      </c>
      <c r="W1042" s="27">
        <v>10</v>
      </c>
      <c r="X1042" s="37" t="str">
        <f>HYPERLINK("https://www.alpinabook.ru/catalog/book-vily","ссылка на книгу")</f>
        <v>ссылка на книгу</v>
      </c>
      <c r="Y1042" s="38" t="str">
        <f>HYPERLINK("https://api-enni.alpina.ru/FilePrivilegesApproval/149","https://api-enni.alpina.ru/FilePrivilegesApproval/149")</f>
        <v>https://api-enni.alpina.ru/FilePrivilegesApproval/149</v>
      </c>
      <c r="Z1042" s="29"/>
      <c r="AT1042" s="1">
        <f t="shared" si="168"/>
        <v>0</v>
      </c>
      <c r="AU1042" s="1">
        <f t="shared" si="169"/>
        <v>0</v>
      </c>
      <c r="AV1042" s="1">
        <f t="shared" si="170"/>
        <v>0</v>
      </c>
      <c r="AW1042" s="1">
        <f t="shared" si="171"/>
        <v>0</v>
      </c>
      <c r="AX1042" s="1">
        <f t="shared" si="172"/>
        <v>0</v>
      </c>
    </row>
    <row r="1043" spans="1:50" s="1" customFormat="1" ht="24.95" customHeight="1" outlineLevel="3" x14ac:dyDescent="0.2">
      <c r="A1043" s="11"/>
      <c r="B1043" s="12">
        <v>540</v>
      </c>
      <c r="C1043" s="12">
        <v>790</v>
      </c>
      <c r="D1043" s="12">
        <v>28796</v>
      </c>
      <c r="E1043" s="13" t="s">
        <v>230</v>
      </c>
      <c r="F1043" s="13" t="s">
        <v>3424</v>
      </c>
      <c r="G1043" s="13" t="s">
        <v>56</v>
      </c>
      <c r="H1043" s="13"/>
      <c r="I1043" s="12">
        <v>2025</v>
      </c>
      <c r="J1043" s="13" t="s">
        <v>3425</v>
      </c>
      <c r="K1043" s="12">
        <v>9785961490145</v>
      </c>
      <c r="L1043" s="13" t="s">
        <v>3426</v>
      </c>
      <c r="M1043" s="12">
        <v>446</v>
      </c>
      <c r="N1043" s="14">
        <v>0.54</v>
      </c>
      <c r="O1043" s="12">
        <v>140</v>
      </c>
      <c r="P1043" s="12">
        <v>210</v>
      </c>
      <c r="Q1043" s="12">
        <v>10</v>
      </c>
      <c r="R1043" s="13" t="s">
        <v>43</v>
      </c>
      <c r="S1043" s="13"/>
      <c r="T1043" s="15">
        <v>2000</v>
      </c>
      <c r="U1043" s="13" t="s">
        <v>44</v>
      </c>
      <c r="V1043" s="13" t="s">
        <v>89</v>
      </c>
      <c r="W1043" s="12">
        <v>10</v>
      </c>
      <c r="X1043" s="33" t="str">
        <f>HYPERLINK("https://www.alpinabook.ru/catalog/book-grad-obrechennykh","ссылка на книгу")</f>
        <v>ссылка на книгу</v>
      </c>
      <c r="Y1043" s="34" t="str">
        <f>HYPERLINK("https://api-enni.alpina.ru/FilePrivilegesApproval/156","https://api-enni.alpina.ru/FilePrivilegesApproval/156")</f>
        <v>https://api-enni.alpina.ru/FilePrivilegesApproval/156</v>
      </c>
      <c r="Z1043" s="13" t="s">
        <v>775</v>
      </c>
      <c r="AT1043" s="1">
        <f t="shared" si="168"/>
        <v>0</v>
      </c>
      <c r="AU1043" s="1">
        <f t="shared" si="169"/>
        <v>0</v>
      </c>
      <c r="AV1043" s="1">
        <f t="shared" si="170"/>
        <v>0</v>
      </c>
      <c r="AW1043" s="1">
        <f t="shared" si="171"/>
        <v>0</v>
      </c>
      <c r="AX1043" s="1">
        <f t="shared" si="172"/>
        <v>0</v>
      </c>
    </row>
    <row r="1044" spans="1:50" s="1" customFormat="1" ht="24.95" customHeight="1" outlineLevel="3" x14ac:dyDescent="0.2">
      <c r="A1044" s="11"/>
      <c r="B1044" s="12">
        <v>590</v>
      </c>
      <c r="C1044" s="12">
        <v>840</v>
      </c>
      <c r="D1044" s="12">
        <v>28310</v>
      </c>
      <c r="E1044" s="13" t="s">
        <v>3427</v>
      </c>
      <c r="F1044" s="13" t="s">
        <v>3428</v>
      </c>
      <c r="G1044" s="13" t="s">
        <v>56</v>
      </c>
      <c r="H1044" s="13" t="s">
        <v>236</v>
      </c>
      <c r="I1044" s="12">
        <v>2024</v>
      </c>
      <c r="J1044" s="13" t="s">
        <v>3429</v>
      </c>
      <c r="K1044" s="12">
        <v>9785961487817</v>
      </c>
      <c r="L1044" s="13" t="s">
        <v>3430</v>
      </c>
      <c r="M1044" s="12">
        <v>224</v>
      </c>
      <c r="N1044" s="14">
        <v>0.38</v>
      </c>
      <c r="O1044" s="12">
        <v>140</v>
      </c>
      <c r="P1044" s="12">
        <v>220</v>
      </c>
      <c r="Q1044" s="12">
        <v>16</v>
      </c>
      <c r="R1044" s="13" t="s">
        <v>43</v>
      </c>
      <c r="S1044" s="13"/>
      <c r="T1044" s="15">
        <v>1500</v>
      </c>
      <c r="U1044" s="13" t="s">
        <v>52</v>
      </c>
      <c r="V1044" s="13" t="s">
        <v>45</v>
      </c>
      <c r="W1044" s="12">
        <v>10</v>
      </c>
      <c r="X1044" s="33" t="str">
        <f>HYPERLINK("https://www.alpinabook.ru/catalog/book-diktator-kotoryy-umer-dvazhdy","ссылка на книгу")</f>
        <v>ссылка на книгу</v>
      </c>
      <c r="Y1044" s="34" t="str">
        <f>HYPERLINK("https://api-enni.alpina.ru/FilePrivilegesApproval/315","https://api-enni.alpina.ru/FilePrivilegesApproval/315")</f>
        <v>https://api-enni.alpina.ru/FilePrivilegesApproval/315</v>
      </c>
      <c r="Z1044" s="13"/>
      <c r="AT1044" s="1">
        <f t="shared" si="168"/>
        <v>0</v>
      </c>
      <c r="AU1044" s="1">
        <f t="shared" si="169"/>
        <v>0</v>
      </c>
      <c r="AV1044" s="1">
        <f t="shared" si="170"/>
        <v>0</v>
      </c>
      <c r="AW1044" s="1">
        <f t="shared" si="171"/>
        <v>0</v>
      </c>
      <c r="AX1044" s="1">
        <f t="shared" si="172"/>
        <v>0</v>
      </c>
    </row>
    <row r="1045" spans="1:50" s="1" customFormat="1" ht="24.95" customHeight="1" outlineLevel="3" x14ac:dyDescent="0.2">
      <c r="A1045" s="11"/>
      <c r="B1045" s="12">
        <v>890</v>
      </c>
      <c r="C1045" s="15">
        <v>1290</v>
      </c>
      <c r="D1045" s="12">
        <v>28610</v>
      </c>
      <c r="E1045" s="13" t="s">
        <v>3431</v>
      </c>
      <c r="F1045" s="13" t="s">
        <v>3432</v>
      </c>
      <c r="G1045" s="13" t="s">
        <v>97</v>
      </c>
      <c r="H1045" s="13"/>
      <c r="I1045" s="12">
        <v>2023</v>
      </c>
      <c r="J1045" s="13" t="s">
        <v>3433</v>
      </c>
      <c r="K1045" s="12">
        <v>9785206002188</v>
      </c>
      <c r="L1045" s="13" t="s">
        <v>3434</v>
      </c>
      <c r="M1045" s="12">
        <v>312</v>
      </c>
      <c r="N1045" s="14">
        <v>0.6</v>
      </c>
      <c r="O1045" s="12">
        <v>170</v>
      </c>
      <c r="P1045" s="12">
        <v>230</v>
      </c>
      <c r="Q1045" s="12">
        <v>6</v>
      </c>
      <c r="R1045" s="13" t="s">
        <v>100</v>
      </c>
      <c r="S1045" s="13"/>
      <c r="T1045" s="15">
        <v>2005</v>
      </c>
      <c r="U1045" s="13" t="s">
        <v>268</v>
      </c>
      <c r="V1045" s="13" t="s">
        <v>59</v>
      </c>
      <c r="W1045" s="12">
        <v>10</v>
      </c>
      <c r="X1045" s="33" t="str">
        <f>HYPERLINK("https://www.alpinabook.ru/catalog/book-diplomaty-futbolisty-i-prochie-muzykanty","ссылка на книгу")</f>
        <v>ссылка на книгу</v>
      </c>
      <c r="Y1045" s="34" t="str">
        <f>HYPERLINK("https://api-enni.alpina.ru/FilePrivilegesApproval/341","https://api-enni.alpina.ru/FilePrivilegesApproval/341")</f>
        <v>https://api-enni.alpina.ru/FilePrivilegesApproval/341</v>
      </c>
      <c r="Z1045" s="13"/>
      <c r="AT1045" s="1">
        <f t="shared" si="168"/>
        <v>0</v>
      </c>
      <c r="AU1045" s="1">
        <f t="shared" si="169"/>
        <v>0</v>
      </c>
      <c r="AV1045" s="1">
        <f t="shared" si="170"/>
        <v>0</v>
      </c>
      <c r="AW1045" s="1">
        <f t="shared" si="171"/>
        <v>0</v>
      </c>
      <c r="AX1045" s="1">
        <f t="shared" si="172"/>
        <v>0</v>
      </c>
    </row>
    <row r="1046" spans="1:50" s="1" customFormat="1" ht="24.95" customHeight="1" outlineLevel="3" x14ac:dyDescent="0.2">
      <c r="A1046" s="11"/>
      <c r="B1046" s="12">
        <v>890</v>
      </c>
      <c r="C1046" s="15">
        <v>1290</v>
      </c>
      <c r="D1046" s="12">
        <v>26924</v>
      </c>
      <c r="E1046" s="13" t="s">
        <v>3435</v>
      </c>
      <c r="F1046" s="13" t="s">
        <v>3436</v>
      </c>
      <c r="G1046" s="13" t="s">
        <v>56</v>
      </c>
      <c r="H1046" s="13" t="s">
        <v>40</v>
      </c>
      <c r="I1046" s="12">
        <v>2025</v>
      </c>
      <c r="J1046" s="13" t="s">
        <v>3437</v>
      </c>
      <c r="K1046" s="12">
        <v>9785961483338</v>
      </c>
      <c r="L1046" s="13" t="s">
        <v>3438</v>
      </c>
      <c r="M1046" s="12">
        <v>766</v>
      </c>
      <c r="N1046" s="14">
        <v>0.78</v>
      </c>
      <c r="O1046" s="12">
        <v>150</v>
      </c>
      <c r="P1046" s="12">
        <v>220</v>
      </c>
      <c r="Q1046" s="12">
        <v>6</v>
      </c>
      <c r="R1046" s="13" t="s">
        <v>43</v>
      </c>
      <c r="S1046" s="13"/>
      <c r="T1046" s="15">
        <v>2000</v>
      </c>
      <c r="U1046" s="13" t="s">
        <v>52</v>
      </c>
      <c r="V1046" s="13" t="s">
        <v>89</v>
      </c>
      <c r="W1046" s="12">
        <v>10</v>
      </c>
      <c r="X1046" s="33" t="str">
        <f>HYPERLINK("https://www.alpinabook.ru/catalog/book-dom-vindzorov","ссылка на книгу")</f>
        <v>ссылка на книгу</v>
      </c>
      <c r="Y1046" s="34" t="str">
        <f>HYPERLINK("https://api-enni.alpina.ru/FilePrivilegesApproval/649","https://api-enni.alpina.ru/FilePrivilegesApproval/649")</f>
        <v>https://api-enni.alpina.ru/FilePrivilegesApproval/649</v>
      </c>
      <c r="Z1046" s="13"/>
      <c r="AT1046" s="1">
        <f t="shared" si="168"/>
        <v>0</v>
      </c>
      <c r="AU1046" s="1">
        <f t="shared" si="169"/>
        <v>0</v>
      </c>
      <c r="AV1046" s="1">
        <f t="shared" si="170"/>
        <v>0</v>
      </c>
      <c r="AW1046" s="1">
        <f t="shared" si="171"/>
        <v>0</v>
      </c>
      <c r="AX1046" s="1">
        <f t="shared" si="172"/>
        <v>0</v>
      </c>
    </row>
    <row r="1047" spans="1:50" s="1" customFormat="1" ht="24.95" customHeight="1" outlineLevel="3" x14ac:dyDescent="0.2">
      <c r="A1047" s="11"/>
      <c r="B1047" s="12">
        <v>740</v>
      </c>
      <c r="C1047" s="15">
        <v>1090</v>
      </c>
      <c r="D1047" s="12">
        <v>23904</v>
      </c>
      <c r="E1047" s="13" t="s">
        <v>339</v>
      </c>
      <c r="F1047" s="13" t="s">
        <v>3439</v>
      </c>
      <c r="G1047" s="13" t="s">
        <v>86</v>
      </c>
      <c r="H1047" s="13"/>
      <c r="I1047" s="12">
        <v>2024</v>
      </c>
      <c r="J1047" s="13" t="s">
        <v>3440</v>
      </c>
      <c r="K1047" s="12">
        <v>9785001395218</v>
      </c>
      <c r="L1047" s="13" t="s">
        <v>3441</v>
      </c>
      <c r="M1047" s="12">
        <v>442</v>
      </c>
      <c r="N1047" s="14">
        <v>0.75</v>
      </c>
      <c r="O1047" s="12">
        <v>170</v>
      </c>
      <c r="P1047" s="12">
        <v>230</v>
      </c>
      <c r="Q1047" s="12">
        <v>6</v>
      </c>
      <c r="R1047" s="13" t="s">
        <v>100</v>
      </c>
      <c r="S1047" s="13"/>
      <c r="T1047" s="15">
        <v>2000</v>
      </c>
      <c r="U1047" s="13" t="s">
        <v>52</v>
      </c>
      <c r="V1047" s="13" t="s">
        <v>89</v>
      </c>
      <c r="W1047" s="12">
        <v>10</v>
      </c>
      <c r="X1047" s="33" t="str">
        <f>HYPERLINK("https://www.alpinabook.ru/catalog/book-yeburg","ссылка на книгу")</f>
        <v>ссылка на книгу</v>
      </c>
      <c r="Y1047" s="34" t="str">
        <f>HYPERLINK("https://api-enni.alpina.ru/FilePrivilegesApproval/149","https://api-enni.alpina.ru/FilePrivilegesApproval/149")</f>
        <v>https://api-enni.alpina.ru/FilePrivilegesApproval/149</v>
      </c>
      <c r="Z1047" s="13"/>
      <c r="AT1047" s="1">
        <f t="shared" si="168"/>
        <v>0</v>
      </c>
      <c r="AU1047" s="1">
        <f t="shared" si="169"/>
        <v>0</v>
      </c>
      <c r="AV1047" s="1">
        <f t="shared" si="170"/>
        <v>0</v>
      </c>
      <c r="AW1047" s="1">
        <f t="shared" si="171"/>
        <v>0</v>
      </c>
      <c r="AX1047" s="1">
        <f t="shared" si="172"/>
        <v>0</v>
      </c>
    </row>
    <row r="1048" spans="1:50" s="1" customFormat="1" ht="24.95" customHeight="1" outlineLevel="3" x14ac:dyDescent="0.2">
      <c r="A1048" s="11"/>
      <c r="B1048" s="12">
        <v>690</v>
      </c>
      <c r="C1048" s="12">
        <v>990</v>
      </c>
      <c r="D1048" s="12">
        <v>29401</v>
      </c>
      <c r="E1048" s="13" t="s">
        <v>3442</v>
      </c>
      <c r="F1048" s="13" t="s">
        <v>3443</v>
      </c>
      <c r="G1048" s="13" t="s">
        <v>56</v>
      </c>
      <c r="H1048" s="13" t="s">
        <v>40</v>
      </c>
      <c r="I1048" s="12">
        <v>2024</v>
      </c>
      <c r="J1048" s="13" t="s">
        <v>3444</v>
      </c>
      <c r="K1048" s="12">
        <v>9785961492422</v>
      </c>
      <c r="L1048" s="13" t="s">
        <v>3445</v>
      </c>
      <c r="M1048" s="12">
        <v>240</v>
      </c>
      <c r="N1048" s="14">
        <v>0.39</v>
      </c>
      <c r="O1048" s="12">
        <v>150</v>
      </c>
      <c r="P1048" s="12">
        <v>220</v>
      </c>
      <c r="Q1048" s="12">
        <v>16</v>
      </c>
      <c r="R1048" s="13" t="s">
        <v>43</v>
      </c>
      <c r="S1048" s="13"/>
      <c r="T1048" s="15">
        <v>2000</v>
      </c>
      <c r="U1048" s="13" t="s">
        <v>52</v>
      </c>
      <c r="V1048" s="13" t="s">
        <v>45</v>
      </c>
      <c r="W1048" s="12">
        <v>10</v>
      </c>
      <c r="X1048" s="33" t="str">
        <f>HYPERLINK("https://www.alpinabook.ru/catalog/book-za-mnoy-pridut-nochyu","ссылка на книгу")</f>
        <v>ссылка на книгу</v>
      </c>
      <c r="Y1048" s="34" t="str">
        <f>HYPERLINK("https://api-enni.alpina.ru/FilePrivilegesApproval/571","https://api-enni.alpina.ru/FilePrivilegesApproval/571")</f>
        <v>https://api-enni.alpina.ru/FilePrivilegesApproval/571</v>
      </c>
      <c r="Z1048" s="13"/>
      <c r="AT1048" s="1">
        <f t="shared" si="168"/>
        <v>0</v>
      </c>
      <c r="AU1048" s="1">
        <f t="shared" si="169"/>
        <v>0</v>
      </c>
      <c r="AV1048" s="1">
        <f t="shared" si="170"/>
        <v>0</v>
      </c>
      <c r="AW1048" s="1">
        <f t="shared" si="171"/>
        <v>0</v>
      </c>
      <c r="AX1048" s="1">
        <f t="shared" si="172"/>
        <v>0</v>
      </c>
    </row>
    <row r="1049" spans="1:50" s="1" customFormat="1" ht="21.95" customHeight="1" outlineLevel="3" x14ac:dyDescent="0.2">
      <c r="A1049" s="11"/>
      <c r="B1049" s="12">
        <v>590</v>
      </c>
      <c r="C1049" s="12">
        <v>840</v>
      </c>
      <c r="D1049" s="12">
        <v>29725</v>
      </c>
      <c r="E1049" s="13" t="s">
        <v>3446</v>
      </c>
      <c r="F1049" s="13" t="s">
        <v>3447</v>
      </c>
      <c r="G1049" s="13" t="s">
        <v>56</v>
      </c>
      <c r="H1049" s="13"/>
      <c r="I1049" s="12">
        <v>2025</v>
      </c>
      <c r="J1049" s="13" t="s">
        <v>3448</v>
      </c>
      <c r="K1049" s="12">
        <v>9785961493610</v>
      </c>
      <c r="L1049" s="13" t="s">
        <v>3449</v>
      </c>
      <c r="M1049" s="12">
        <v>485</v>
      </c>
      <c r="N1049" s="14">
        <v>0.69</v>
      </c>
      <c r="O1049" s="12">
        <v>150</v>
      </c>
      <c r="P1049" s="12">
        <v>220</v>
      </c>
      <c r="Q1049" s="12">
        <v>6</v>
      </c>
      <c r="R1049" s="13" t="s">
        <v>43</v>
      </c>
      <c r="S1049" s="13"/>
      <c r="T1049" s="15">
        <v>3000</v>
      </c>
      <c r="U1049" s="13" t="s">
        <v>52</v>
      </c>
      <c r="V1049" s="13" t="s">
        <v>89</v>
      </c>
      <c r="W1049" s="12">
        <v>20</v>
      </c>
      <c r="X1049" s="33" t="str">
        <f>HYPERLINK("https://www.alpinabook.ru/catalog/book-i-vozvrashchaetsya-veter","ссылка на книгу")</f>
        <v>ссылка на книгу</v>
      </c>
      <c r="Y1049" s="34" t="str">
        <f>HYPERLINK("","")</f>
        <v/>
      </c>
      <c r="Z1049" s="13" t="s">
        <v>334</v>
      </c>
      <c r="AT1049" s="1">
        <f t="shared" si="168"/>
        <v>0</v>
      </c>
      <c r="AU1049" s="1">
        <f t="shared" si="169"/>
        <v>0</v>
      </c>
      <c r="AV1049" s="1">
        <f t="shared" si="170"/>
        <v>0</v>
      </c>
      <c r="AW1049" s="1">
        <f t="shared" si="171"/>
        <v>0</v>
      </c>
      <c r="AX1049" s="1">
        <f t="shared" si="172"/>
        <v>0</v>
      </c>
    </row>
    <row r="1050" spans="1:50" s="1" customFormat="1" ht="24.95" customHeight="1" outlineLevel="3" x14ac:dyDescent="0.2">
      <c r="A1050" s="11"/>
      <c r="B1050" s="12">
        <v>690</v>
      </c>
      <c r="C1050" s="12">
        <v>690</v>
      </c>
      <c r="D1050" s="12">
        <v>19437</v>
      </c>
      <c r="E1050" s="13" t="s">
        <v>3450</v>
      </c>
      <c r="F1050" s="13" t="s">
        <v>3451</v>
      </c>
      <c r="G1050" s="13" t="s">
        <v>56</v>
      </c>
      <c r="H1050" s="13" t="s">
        <v>40</v>
      </c>
      <c r="I1050" s="12">
        <v>2022</v>
      </c>
      <c r="J1050" s="13" t="s">
        <v>3452</v>
      </c>
      <c r="K1050" s="12">
        <v>9785961477108</v>
      </c>
      <c r="L1050" s="13" t="s">
        <v>3453</v>
      </c>
      <c r="M1050" s="12">
        <v>394</v>
      </c>
      <c r="N1050" s="14">
        <v>0.56000000000000005</v>
      </c>
      <c r="O1050" s="12">
        <v>146</v>
      </c>
      <c r="P1050" s="12">
        <v>216</v>
      </c>
      <c r="Q1050" s="12">
        <v>10</v>
      </c>
      <c r="R1050" s="13" t="s">
        <v>43</v>
      </c>
      <c r="S1050" s="13"/>
      <c r="T1050" s="15">
        <v>1500</v>
      </c>
      <c r="U1050" s="13" t="s">
        <v>52</v>
      </c>
      <c r="V1050" s="13" t="s">
        <v>89</v>
      </c>
      <c r="W1050" s="12">
        <v>10</v>
      </c>
      <c r="X1050" s="33" t="str">
        <f>HYPERLINK("https://www.alpinabook.ru/catalog/book-ishod","ссылка на книгу")</f>
        <v>ссылка на книгу</v>
      </c>
      <c r="Y1050" s="34" t="str">
        <f>HYPERLINK("https://api-enni.alpina.ru/FilePrivilegesApproval/135","https://api-enni.alpina.ru/FilePrivilegesApproval/135")</f>
        <v>https://api-enni.alpina.ru/FilePrivilegesApproval/135</v>
      </c>
      <c r="Z1050" s="13"/>
      <c r="AT1050" s="1">
        <f t="shared" si="168"/>
        <v>0</v>
      </c>
      <c r="AU1050" s="1">
        <f t="shared" si="169"/>
        <v>0</v>
      </c>
      <c r="AV1050" s="1">
        <f t="shared" si="170"/>
        <v>0</v>
      </c>
      <c r="AW1050" s="1">
        <f t="shared" si="171"/>
        <v>0</v>
      </c>
      <c r="AX1050" s="1">
        <f t="shared" si="172"/>
        <v>0</v>
      </c>
    </row>
    <row r="1051" spans="1:50" s="1" customFormat="1" ht="24.95" customHeight="1" outlineLevel="3" x14ac:dyDescent="0.2">
      <c r="A1051" s="26"/>
      <c r="B1051" s="27">
        <v>640</v>
      </c>
      <c r="C1051" s="27">
        <v>940</v>
      </c>
      <c r="D1051" s="27">
        <v>17054</v>
      </c>
      <c r="E1051" s="29" t="s">
        <v>3454</v>
      </c>
      <c r="F1051" s="29" t="s">
        <v>3455</v>
      </c>
      <c r="G1051" s="29" t="s">
        <v>56</v>
      </c>
      <c r="H1051" s="29" t="s">
        <v>40</v>
      </c>
      <c r="I1051" s="27">
        <v>2022</v>
      </c>
      <c r="J1051" s="29" t="s">
        <v>3456</v>
      </c>
      <c r="K1051" s="27">
        <v>9785961475821</v>
      </c>
      <c r="L1051" s="29" t="s">
        <v>3457</v>
      </c>
      <c r="M1051" s="27">
        <v>272</v>
      </c>
      <c r="N1051" s="30">
        <v>0.36</v>
      </c>
      <c r="O1051" s="27">
        <v>146</v>
      </c>
      <c r="P1051" s="27">
        <v>216</v>
      </c>
      <c r="Q1051" s="27">
        <v>14</v>
      </c>
      <c r="R1051" s="29" t="s">
        <v>43</v>
      </c>
      <c r="S1051" s="29"/>
      <c r="T1051" s="28">
        <v>1500</v>
      </c>
      <c r="U1051" s="29" t="s">
        <v>52</v>
      </c>
      <c r="V1051" s="29" t="s">
        <v>45</v>
      </c>
      <c r="W1051" s="27">
        <v>10</v>
      </c>
      <c r="X1051" s="37" t="str">
        <f>HYPERLINK("https://www.alpinabook.ru/catalog/book-kairskie-khroniki","ссылка на книгу")</f>
        <v>ссылка на книгу</v>
      </c>
      <c r="Y1051" s="38" t="str">
        <f>HYPERLINK("https://api-enni.alpina.ru/FilePrivilegesApproval/156","https://api-enni.alpina.ru/FilePrivilegesApproval/156")</f>
        <v>https://api-enni.alpina.ru/FilePrivilegesApproval/156</v>
      </c>
      <c r="Z1051" s="29"/>
      <c r="AT1051" s="1">
        <f t="shared" si="168"/>
        <v>0</v>
      </c>
      <c r="AU1051" s="1">
        <f t="shared" si="169"/>
        <v>0</v>
      </c>
      <c r="AV1051" s="1">
        <f t="shared" si="170"/>
        <v>0</v>
      </c>
      <c r="AW1051" s="1">
        <f t="shared" si="171"/>
        <v>0</v>
      </c>
      <c r="AX1051" s="1">
        <f t="shared" si="172"/>
        <v>0</v>
      </c>
    </row>
    <row r="1052" spans="1:50" s="1" customFormat="1" ht="24.95" customHeight="1" outlineLevel="3" x14ac:dyDescent="0.2">
      <c r="A1052" s="11"/>
      <c r="B1052" s="12">
        <v>790</v>
      </c>
      <c r="C1052" s="15">
        <v>1190</v>
      </c>
      <c r="D1052" s="12">
        <v>23221</v>
      </c>
      <c r="E1052" s="13" t="s">
        <v>3458</v>
      </c>
      <c r="F1052" s="13" t="s">
        <v>3459</v>
      </c>
      <c r="G1052" s="13" t="s">
        <v>86</v>
      </c>
      <c r="H1052" s="13" t="s">
        <v>40</v>
      </c>
      <c r="I1052" s="12">
        <v>2023</v>
      </c>
      <c r="J1052" s="13" t="s">
        <v>3460</v>
      </c>
      <c r="K1052" s="12">
        <v>9785001394501</v>
      </c>
      <c r="L1052" s="13" t="s">
        <v>3461</v>
      </c>
      <c r="M1052" s="12">
        <v>416</v>
      </c>
      <c r="N1052" s="14">
        <v>0.49</v>
      </c>
      <c r="O1052" s="12">
        <v>140</v>
      </c>
      <c r="P1052" s="12">
        <v>210</v>
      </c>
      <c r="Q1052" s="12">
        <v>10</v>
      </c>
      <c r="R1052" s="13" t="s">
        <v>43</v>
      </c>
      <c r="S1052" s="13"/>
      <c r="T1052" s="15">
        <v>2500</v>
      </c>
      <c r="U1052" s="13" t="s">
        <v>44</v>
      </c>
      <c r="V1052" s="13" t="s">
        <v>45</v>
      </c>
      <c r="W1052" s="12">
        <v>10</v>
      </c>
      <c r="X1052" s="33" t="str">
        <f>HYPERLINK("https://www.alpinabook.ru/catalog/book-kartinki-v-golove","ссылка на книгу")</f>
        <v>ссылка на книгу</v>
      </c>
      <c r="Y1052" s="34" t="str">
        <f>HYPERLINK("https://api-enni.alpina.ru/FilePrivilegesApproval/171","https://api-enni.alpina.ru/FilePrivilegesApproval/171")</f>
        <v>https://api-enni.alpina.ru/FilePrivilegesApproval/171</v>
      </c>
      <c r="Z1052" s="13"/>
      <c r="AT1052" s="1">
        <f t="shared" si="168"/>
        <v>0</v>
      </c>
      <c r="AU1052" s="1">
        <f t="shared" si="169"/>
        <v>0</v>
      </c>
      <c r="AV1052" s="1">
        <f t="shared" si="170"/>
        <v>0</v>
      </c>
      <c r="AW1052" s="1">
        <f t="shared" si="171"/>
        <v>0</v>
      </c>
      <c r="AX1052" s="1">
        <f t="shared" si="172"/>
        <v>0</v>
      </c>
    </row>
    <row r="1053" spans="1:50" s="1" customFormat="1" ht="24.95" customHeight="1" outlineLevel="3" x14ac:dyDescent="0.2">
      <c r="A1053" s="11"/>
      <c r="B1053" s="12">
        <v>790</v>
      </c>
      <c r="C1053" s="15">
        <v>1190</v>
      </c>
      <c r="D1053" s="12">
        <v>27724</v>
      </c>
      <c r="E1053" s="13" t="s">
        <v>3462</v>
      </c>
      <c r="F1053" s="13" t="s">
        <v>3463</v>
      </c>
      <c r="G1053" s="13" t="s">
        <v>86</v>
      </c>
      <c r="H1053" s="13" t="s">
        <v>40</v>
      </c>
      <c r="I1053" s="12">
        <v>2025</v>
      </c>
      <c r="J1053" s="13" t="s">
        <v>3464</v>
      </c>
      <c r="K1053" s="12">
        <v>9785001399506</v>
      </c>
      <c r="L1053" s="13" t="s">
        <v>3465</v>
      </c>
      <c r="M1053" s="12">
        <v>404</v>
      </c>
      <c r="N1053" s="14">
        <v>0.44</v>
      </c>
      <c r="O1053" s="12">
        <v>150</v>
      </c>
      <c r="P1053" s="12">
        <v>220</v>
      </c>
      <c r="Q1053" s="12">
        <v>10</v>
      </c>
      <c r="R1053" s="13" t="s">
        <v>43</v>
      </c>
      <c r="S1053" s="13"/>
      <c r="T1053" s="15">
        <v>1500</v>
      </c>
      <c r="U1053" s="13" t="s">
        <v>52</v>
      </c>
      <c r="V1053" s="13" t="s">
        <v>45</v>
      </c>
      <c r="W1053" s="12">
        <v>10</v>
      </c>
      <c r="X1053" s="33" t="str">
        <f>HYPERLINK("https://www.alpinabook.ru/catalog/book-krushenie-italii","ссылка на книгу")</f>
        <v>ссылка на книгу</v>
      </c>
      <c r="Y1053" s="34" t="str">
        <f>HYPERLINK("https://api-enni.alpina.ru/FilePrivilegesApproval/752","https://api-enni.alpina.ru/FilePrivilegesApproval/752")</f>
        <v>https://api-enni.alpina.ru/FilePrivilegesApproval/752</v>
      </c>
      <c r="Z1053" s="13" t="s">
        <v>374</v>
      </c>
      <c r="AT1053" s="1">
        <f t="shared" si="168"/>
        <v>0</v>
      </c>
      <c r="AU1053" s="1">
        <f t="shared" si="169"/>
        <v>0</v>
      </c>
      <c r="AV1053" s="1">
        <f t="shared" si="170"/>
        <v>0</v>
      </c>
      <c r="AW1053" s="1">
        <f t="shared" si="171"/>
        <v>0</v>
      </c>
      <c r="AX1053" s="1">
        <f t="shared" si="172"/>
        <v>0</v>
      </c>
    </row>
    <row r="1054" spans="1:50" s="1" customFormat="1" ht="24.95" customHeight="1" outlineLevel="3" x14ac:dyDescent="0.2">
      <c r="A1054" s="11"/>
      <c r="B1054" s="12">
        <v>690</v>
      </c>
      <c r="C1054" s="12">
        <v>890</v>
      </c>
      <c r="D1054" s="12">
        <v>20785</v>
      </c>
      <c r="E1054" s="13" t="s">
        <v>3466</v>
      </c>
      <c r="F1054" s="13" t="s">
        <v>3467</v>
      </c>
      <c r="G1054" s="13" t="s">
        <v>97</v>
      </c>
      <c r="H1054" s="13" t="s">
        <v>40</v>
      </c>
      <c r="I1054" s="12">
        <v>2021</v>
      </c>
      <c r="J1054" s="13" t="s">
        <v>3468</v>
      </c>
      <c r="K1054" s="12">
        <v>9785907394810</v>
      </c>
      <c r="L1054" s="13" t="s">
        <v>3469</v>
      </c>
      <c r="M1054" s="12">
        <v>182</v>
      </c>
      <c r="N1054" s="14">
        <v>0.32</v>
      </c>
      <c r="O1054" s="12">
        <v>150</v>
      </c>
      <c r="P1054" s="12">
        <v>220</v>
      </c>
      <c r="Q1054" s="12">
        <v>14</v>
      </c>
      <c r="R1054" s="13" t="s">
        <v>43</v>
      </c>
      <c r="S1054" s="13"/>
      <c r="T1054" s="15">
        <v>3000</v>
      </c>
      <c r="U1054" s="13" t="s">
        <v>52</v>
      </c>
      <c r="V1054" s="13" t="s">
        <v>59</v>
      </c>
      <c r="W1054" s="12">
        <v>10</v>
      </c>
      <c r="X1054" s="33" t="str">
        <f>HYPERLINK("https://www.alpinabook.ru/catalog/book-720039","ссылка на книгу")</f>
        <v>ссылка на книгу</v>
      </c>
      <c r="Y1054" s="34" t="str">
        <f>HYPERLINK("https://api-enni.alpina.ru/FilePrivilegesApproval/116","https://api-enni.alpina.ru/FilePrivilegesApproval/116")</f>
        <v>https://api-enni.alpina.ru/FilePrivilegesApproval/116</v>
      </c>
      <c r="Z1054" s="13"/>
      <c r="AT1054" s="1">
        <f t="shared" si="168"/>
        <v>0</v>
      </c>
      <c r="AU1054" s="1">
        <f t="shared" si="169"/>
        <v>0</v>
      </c>
      <c r="AV1054" s="1">
        <f t="shared" si="170"/>
        <v>0</v>
      </c>
      <c r="AW1054" s="1">
        <f t="shared" si="171"/>
        <v>0</v>
      </c>
      <c r="AX1054" s="1">
        <f t="shared" si="172"/>
        <v>0</v>
      </c>
    </row>
    <row r="1055" spans="1:50" s="1" customFormat="1" ht="24.95" customHeight="1" outlineLevel="3" x14ac:dyDescent="0.2">
      <c r="A1055" s="11"/>
      <c r="B1055" s="12">
        <v>590</v>
      </c>
      <c r="C1055" s="12">
        <v>840</v>
      </c>
      <c r="D1055" s="12">
        <v>27039</v>
      </c>
      <c r="E1055" s="13" t="s">
        <v>3470</v>
      </c>
      <c r="F1055" s="13" t="s">
        <v>3471</v>
      </c>
      <c r="G1055" s="13" t="s">
        <v>56</v>
      </c>
      <c r="H1055" s="13" t="s">
        <v>164</v>
      </c>
      <c r="I1055" s="12">
        <v>2023</v>
      </c>
      <c r="J1055" s="13" t="s">
        <v>3472</v>
      </c>
      <c r="K1055" s="12">
        <v>9785961483253</v>
      </c>
      <c r="L1055" s="13" t="s">
        <v>3473</v>
      </c>
      <c r="M1055" s="12">
        <v>260</v>
      </c>
      <c r="N1055" s="14">
        <v>0.42</v>
      </c>
      <c r="O1055" s="12">
        <v>150</v>
      </c>
      <c r="P1055" s="12">
        <v>220</v>
      </c>
      <c r="Q1055" s="12">
        <v>12</v>
      </c>
      <c r="R1055" s="13" t="s">
        <v>43</v>
      </c>
      <c r="S1055" s="13"/>
      <c r="T1055" s="15">
        <v>2000</v>
      </c>
      <c r="U1055" s="13" t="s">
        <v>52</v>
      </c>
      <c r="V1055" s="13" t="s">
        <v>89</v>
      </c>
      <c r="W1055" s="12">
        <v>10</v>
      </c>
      <c r="X1055" s="33" t="str">
        <f>HYPERLINK("https://www.alpinabook.ru/catalog/book-moy-ded-rasstrelyal-by-menya","ссылка на книгу")</f>
        <v>ссылка на книгу</v>
      </c>
      <c r="Y1055" s="34" t="str">
        <f>HYPERLINK("https://api-enni.alpina.ru/FilePrivilegesApproval/287","https://api-enni.alpina.ru/FilePrivilegesApproval/287")</f>
        <v>https://api-enni.alpina.ru/FilePrivilegesApproval/287</v>
      </c>
      <c r="Z1055" s="13"/>
      <c r="AT1055" s="1">
        <f t="shared" si="168"/>
        <v>0</v>
      </c>
      <c r="AU1055" s="1">
        <f t="shared" si="169"/>
        <v>0</v>
      </c>
      <c r="AV1055" s="1">
        <f t="shared" si="170"/>
        <v>0</v>
      </c>
      <c r="AW1055" s="1">
        <f t="shared" si="171"/>
        <v>0</v>
      </c>
      <c r="AX1055" s="1">
        <f t="shared" si="172"/>
        <v>0</v>
      </c>
    </row>
    <row r="1056" spans="1:50" s="1" customFormat="1" ht="24.95" customHeight="1" outlineLevel="3" x14ac:dyDescent="0.2">
      <c r="A1056" s="11"/>
      <c r="B1056" s="12">
        <v>540</v>
      </c>
      <c r="C1056" s="12">
        <v>790</v>
      </c>
      <c r="D1056" s="12">
        <v>31981</v>
      </c>
      <c r="E1056" s="13" t="s">
        <v>124</v>
      </c>
      <c r="F1056" s="13" t="s">
        <v>125</v>
      </c>
      <c r="G1056" s="13" t="s">
        <v>56</v>
      </c>
      <c r="H1056" s="13"/>
      <c r="I1056" s="12">
        <v>2025</v>
      </c>
      <c r="J1056" s="13" t="s">
        <v>126</v>
      </c>
      <c r="K1056" s="12">
        <v>9785006300798</v>
      </c>
      <c r="L1056" s="13" t="s">
        <v>127</v>
      </c>
      <c r="M1056" s="12">
        <v>252</v>
      </c>
      <c r="N1056" s="14">
        <v>0.41</v>
      </c>
      <c r="O1056" s="12">
        <v>150</v>
      </c>
      <c r="P1056" s="12">
        <v>220</v>
      </c>
      <c r="Q1056" s="12">
        <v>16</v>
      </c>
      <c r="R1056" s="13" t="s">
        <v>43</v>
      </c>
      <c r="S1056" s="13"/>
      <c r="T1056" s="15">
        <v>3000</v>
      </c>
      <c r="U1056" s="13" t="s">
        <v>52</v>
      </c>
      <c r="V1056" s="13" t="s">
        <v>45</v>
      </c>
      <c r="W1056" s="12">
        <v>10</v>
      </c>
      <c r="X1056" s="33" t="str">
        <f>HYPERLINK("https://www.alpinabook.ru/catalog/book-moya-polosataya-zhizn","ссылка на книгу")</f>
        <v>ссылка на книгу</v>
      </c>
      <c r="Y1056" s="34" t="str">
        <f>HYPERLINK("https://api-enni.alpina.ru/FilePrivilegesApproval/831","https://api-enni.alpina.ru/FilePrivilegesApproval/831")</f>
        <v>https://api-enni.alpina.ru/FilePrivilegesApproval/831</v>
      </c>
      <c r="Z1056" s="13" t="s">
        <v>77</v>
      </c>
      <c r="AT1056" s="1">
        <f t="shared" si="168"/>
        <v>0</v>
      </c>
      <c r="AU1056" s="1">
        <f t="shared" si="169"/>
        <v>0</v>
      </c>
      <c r="AV1056" s="1">
        <f t="shared" si="170"/>
        <v>0</v>
      </c>
      <c r="AW1056" s="1">
        <f t="shared" si="171"/>
        <v>0</v>
      </c>
      <c r="AX1056" s="1">
        <f t="shared" si="172"/>
        <v>0</v>
      </c>
    </row>
    <row r="1057" spans="1:50" s="1" customFormat="1" ht="24.95" customHeight="1" outlineLevel="3" x14ac:dyDescent="0.2">
      <c r="A1057" s="11"/>
      <c r="B1057" s="12">
        <v>690</v>
      </c>
      <c r="C1057" s="12">
        <v>990</v>
      </c>
      <c r="D1057" s="12">
        <v>26564</v>
      </c>
      <c r="E1057" s="13" t="s">
        <v>3474</v>
      </c>
      <c r="F1057" s="13" t="s">
        <v>3475</v>
      </c>
      <c r="G1057" s="13" t="s">
        <v>97</v>
      </c>
      <c r="H1057" s="13"/>
      <c r="I1057" s="12">
        <v>2023</v>
      </c>
      <c r="J1057" s="13" t="s">
        <v>3476</v>
      </c>
      <c r="K1057" s="12">
        <v>9785206000900</v>
      </c>
      <c r="L1057" s="13" t="s">
        <v>3477</v>
      </c>
      <c r="M1057" s="12">
        <v>312</v>
      </c>
      <c r="N1057" s="14">
        <v>0.5</v>
      </c>
      <c r="O1057" s="12">
        <v>160</v>
      </c>
      <c r="P1057" s="12">
        <v>220</v>
      </c>
      <c r="Q1057" s="12">
        <v>8</v>
      </c>
      <c r="R1057" s="13" t="s">
        <v>43</v>
      </c>
      <c r="S1057" s="13"/>
      <c r="T1057" s="15">
        <v>3000</v>
      </c>
      <c r="U1057" s="13" t="s">
        <v>52</v>
      </c>
      <c r="V1057" s="13" t="s">
        <v>59</v>
      </c>
      <c r="W1057" s="12">
        <v>10</v>
      </c>
      <c r="X1057" s="33" t="str">
        <f>HYPERLINK("https://www.alpinabook.ru/catalog/book-napisannye-v-istorii","ссылка на книгу")</f>
        <v>ссылка на книгу</v>
      </c>
      <c r="Y1057" s="34" t="str">
        <f>HYPERLINK("https://api-enni.alpina.ru/FilePrivilegesApproval/168","https://api-enni.alpina.ru/FilePrivilegesApproval/168")</f>
        <v>https://api-enni.alpina.ru/FilePrivilegesApproval/168</v>
      </c>
      <c r="Z1057" s="13"/>
      <c r="AT1057" s="1">
        <f t="shared" si="168"/>
        <v>0</v>
      </c>
      <c r="AU1057" s="1">
        <f t="shared" si="169"/>
        <v>0</v>
      </c>
      <c r="AV1057" s="1">
        <f t="shared" si="170"/>
        <v>0</v>
      </c>
      <c r="AW1057" s="1">
        <f t="shared" si="171"/>
        <v>0</v>
      </c>
      <c r="AX1057" s="1">
        <f t="shared" si="172"/>
        <v>0</v>
      </c>
    </row>
    <row r="1058" spans="1:50" s="1" customFormat="1" ht="24.95" customHeight="1" outlineLevel="3" x14ac:dyDescent="0.2">
      <c r="A1058" s="11"/>
      <c r="B1058" s="15">
        <v>1190</v>
      </c>
      <c r="C1058" s="15">
        <v>1690</v>
      </c>
      <c r="D1058" s="12">
        <v>2914</v>
      </c>
      <c r="E1058" s="13" t="s">
        <v>2330</v>
      </c>
      <c r="F1058" s="13" t="s">
        <v>3478</v>
      </c>
      <c r="G1058" s="13" t="s">
        <v>86</v>
      </c>
      <c r="H1058" s="13" t="s">
        <v>40</v>
      </c>
      <c r="I1058" s="12">
        <v>2024</v>
      </c>
      <c r="J1058" s="13" t="s">
        <v>3479</v>
      </c>
      <c r="K1058" s="12">
        <v>9785001394518</v>
      </c>
      <c r="L1058" s="13" t="s">
        <v>3480</v>
      </c>
      <c r="M1058" s="12">
        <v>644</v>
      </c>
      <c r="N1058" s="14">
        <v>0.74</v>
      </c>
      <c r="O1058" s="12">
        <v>146</v>
      </c>
      <c r="P1058" s="12">
        <v>216</v>
      </c>
      <c r="Q1058" s="12">
        <v>8</v>
      </c>
      <c r="R1058" s="13" t="s">
        <v>43</v>
      </c>
      <c r="S1058" s="13"/>
      <c r="T1058" s="15">
        <v>1500</v>
      </c>
      <c r="U1058" s="13" t="s">
        <v>52</v>
      </c>
      <c r="V1058" s="13" t="s">
        <v>59</v>
      </c>
      <c r="W1058" s="12">
        <v>10</v>
      </c>
      <c r="X1058" s="33" t="str">
        <f>HYPERLINK("https://www.alpinabook.ru/catalog/book-nikogda-ne-sdavatsya","ссылка на книгу")</f>
        <v>ссылка на книгу</v>
      </c>
      <c r="Y1058" s="34" t="str">
        <f>HYPERLINK("https://api-enni.alpina.ru/FilePrivilegesApproval/260","https://api-enni.alpina.ru/FilePrivilegesApproval/260")</f>
        <v>https://api-enni.alpina.ru/FilePrivilegesApproval/260</v>
      </c>
      <c r="Z1058" s="13"/>
      <c r="AT1058" s="1">
        <f t="shared" si="168"/>
        <v>0</v>
      </c>
      <c r="AU1058" s="1">
        <f t="shared" si="169"/>
        <v>0</v>
      </c>
      <c r="AV1058" s="1">
        <f t="shared" si="170"/>
        <v>0</v>
      </c>
      <c r="AW1058" s="1">
        <f t="shared" si="171"/>
        <v>0</v>
      </c>
      <c r="AX1058" s="1">
        <f t="shared" si="172"/>
        <v>0</v>
      </c>
    </row>
    <row r="1059" spans="1:50" s="1" customFormat="1" ht="24.95" customHeight="1" outlineLevel="3" x14ac:dyDescent="0.2">
      <c r="A1059" s="11"/>
      <c r="B1059" s="12">
        <v>340</v>
      </c>
      <c r="C1059" s="12">
        <v>540</v>
      </c>
      <c r="D1059" s="12">
        <v>29052</v>
      </c>
      <c r="E1059" s="13" t="s">
        <v>3481</v>
      </c>
      <c r="F1059" s="13" t="s">
        <v>3482</v>
      </c>
      <c r="G1059" s="13" t="s">
        <v>56</v>
      </c>
      <c r="H1059" s="13" t="s">
        <v>40</v>
      </c>
      <c r="I1059" s="12">
        <v>2023</v>
      </c>
      <c r="J1059" s="13" t="s">
        <v>3483</v>
      </c>
      <c r="K1059" s="12">
        <v>9785961491234</v>
      </c>
      <c r="L1059" s="13" t="s">
        <v>3484</v>
      </c>
      <c r="M1059" s="12">
        <v>542</v>
      </c>
      <c r="N1059" s="14">
        <v>0.36</v>
      </c>
      <c r="O1059" s="12">
        <v>120</v>
      </c>
      <c r="P1059" s="12">
        <v>170</v>
      </c>
      <c r="Q1059" s="12">
        <v>8</v>
      </c>
      <c r="R1059" s="13" t="s">
        <v>75</v>
      </c>
      <c r="S1059" s="13" t="s">
        <v>596</v>
      </c>
      <c r="T1059" s="15">
        <v>2000</v>
      </c>
      <c r="U1059" s="13" t="s">
        <v>44</v>
      </c>
      <c r="V1059" s="13" t="s">
        <v>64</v>
      </c>
      <c r="W1059" s="12">
        <v>10</v>
      </c>
      <c r="X1059" s="33" t="str">
        <f>HYPERLINK("https://www.alpinabook.ru/catalog/book-nikolay-vavilov","ссылка на книгу")</f>
        <v>ссылка на книгу</v>
      </c>
      <c r="Y1059" s="34" t="str">
        <f>HYPERLINK("https://api-enni.alpina.ru/FilePrivilegesApproval/315","https://api-enni.alpina.ru/FilePrivilegesApproval/315")</f>
        <v>https://api-enni.alpina.ru/FilePrivilegesApproval/315</v>
      </c>
      <c r="Z1059" s="13"/>
      <c r="AT1059" s="1">
        <f t="shared" si="168"/>
        <v>0</v>
      </c>
      <c r="AU1059" s="1">
        <f t="shared" si="169"/>
        <v>0</v>
      </c>
      <c r="AV1059" s="1">
        <f t="shared" si="170"/>
        <v>0</v>
      </c>
      <c r="AW1059" s="1">
        <f t="shared" si="171"/>
        <v>0</v>
      </c>
      <c r="AX1059" s="1">
        <f t="shared" si="172"/>
        <v>0</v>
      </c>
    </row>
    <row r="1060" spans="1:50" s="1" customFormat="1" ht="24.95" customHeight="1" outlineLevel="3" x14ac:dyDescent="0.2">
      <c r="A1060" s="11"/>
      <c r="B1060" s="12">
        <v>790</v>
      </c>
      <c r="C1060" s="15">
        <v>1190</v>
      </c>
      <c r="D1060" s="12">
        <v>17079</v>
      </c>
      <c r="E1060" s="13" t="s">
        <v>3485</v>
      </c>
      <c r="F1060" s="13" t="s">
        <v>3486</v>
      </c>
      <c r="G1060" s="13" t="s">
        <v>86</v>
      </c>
      <c r="H1060" s="13" t="s">
        <v>40</v>
      </c>
      <c r="I1060" s="12">
        <v>2024</v>
      </c>
      <c r="J1060" s="13" t="s">
        <v>3487</v>
      </c>
      <c r="K1060" s="12">
        <v>9785001394976</v>
      </c>
      <c r="L1060" s="13" t="s">
        <v>3488</v>
      </c>
      <c r="M1060" s="12">
        <v>776</v>
      </c>
      <c r="N1060" s="14">
        <v>0.86</v>
      </c>
      <c r="O1060" s="12">
        <v>140</v>
      </c>
      <c r="P1060" s="12">
        <v>220</v>
      </c>
      <c r="Q1060" s="12">
        <v>4</v>
      </c>
      <c r="R1060" s="13" t="s">
        <v>43</v>
      </c>
      <c r="S1060" s="13"/>
      <c r="T1060" s="15">
        <v>1000</v>
      </c>
      <c r="U1060" s="13" t="s">
        <v>52</v>
      </c>
      <c r="V1060" s="13" t="s">
        <v>45</v>
      </c>
      <c r="W1060" s="12">
        <v>10</v>
      </c>
      <c r="X1060" s="33" t="str">
        <f>HYPERLINK("https://www.alpinabook.ru/catalog/book-okean-vne-zakona","ссылка на книгу")</f>
        <v>ссылка на книгу</v>
      </c>
      <c r="Y1060" s="34" t="str">
        <f>HYPERLINK("https://api-enni.alpina.ru/FilePrivilegesApproval/131","https://api-enni.alpina.ru/FilePrivilegesApproval/131")</f>
        <v>https://api-enni.alpina.ru/FilePrivilegesApproval/131</v>
      </c>
      <c r="Z1060" s="13" t="s">
        <v>954</v>
      </c>
      <c r="AT1060" s="1">
        <f t="shared" si="168"/>
        <v>0</v>
      </c>
      <c r="AU1060" s="1">
        <f t="shared" si="169"/>
        <v>0</v>
      </c>
      <c r="AV1060" s="1">
        <f t="shared" si="170"/>
        <v>0</v>
      </c>
      <c r="AW1060" s="1">
        <f t="shared" si="171"/>
        <v>0</v>
      </c>
      <c r="AX1060" s="1">
        <f t="shared" si="172"/>
        <v>0</v>
      </c>
    </row>
    <row r="1061" spans="1:50" s="1" customFormat="1" ht="24.95" customHeight="1" outlineLevel="3" x14ac:dyDescent="0.2">
      <c r="A1061" s="26"/>
      <c r="B1061" s="28">
        <v>1190</v>
      </c>
      <c r="C1061" s="28">
        <v>1690</v>
      </c>
      <c r="D1061" s="27">
        <v>19212</v>
      </c>
      <c r="E1061" s="29" t="s">
        <v>3489</v>
      </c>
      <c r="F1061" s="29" t="s">
        <v>3490</v>
      </c>
      <c r="G1061" s="29" t="s">
        <v>86</v>
      </c>
      <c r="H1061" s="29"/>
      <c r="I1061" s="27">
        <v>2024</v>
      </c>
      <c r="J1061" s="29" t="s">
        <v>3491</v>
      </c>
      <c r="K1061" s="27">
        <v>9785001395669</v>
      </c>
      <c r="L1061" s="29" t="s">
        <v>3492</v>
      </c>
      <c r="M1061" s="27">
        <v>680</v>
      </c>
      <c r="N1061" s="30">
        <v>1.1499999999999999</v>
      </c>
      <c r="O1061" s="27">
        <v>170</v>
      </c>
      <c r="P1061" s="27">
        <v>250</v>
      </c>
      <c r="Q1061" s="27">
        <v>3</v>
      </c>
      <c r="R1061" s="29" t="s">
        <v>94</v>
      </c>
      <c r="S1061" s="29"/>
      <c r="T1061" s="28">
        <v>1000</v>
      </c>
      <c r="U1061" s="29" t="s">
        <v>52</v>
      </c>
      <c r="V1061" s="29" t="s">
        <v>59</v>
      </c>
      <c r="W1061" s="27">
        <v>10</v>
      </c>
      <c r="X1061" s="37" t="str">
        <f>HYPERLINK("https://www.alpinabook.ru/catalog/book-petr-kropotkin","ссылка на книгу")</f>
        <v>ссылка на книгу</v>
      </c>
      <c r="Y1061" s="38" t="str">
        <f>HYPERLINK("https://api-enni.alpina.ru/FilePrivilegesApproval/217","https://api-enni.alpina.ru/FilePrivilegesApproval/217")</f>
        <v>https://api-enni.alpina.ru/FilePrivilegesApproval/217</v>
      </c>
      <c r="Z1061" s="29"/>
      <c r="AT1061" s="1">
        <f t="shared" si="168"/>
        <v>0</v>
      </c>
      <c r="AU1061" s="1">
        <f t="shared" si="169"/>
        <v>0</v>
      </c>
      <c r="AV1061" s="1">
        <f t="shared" si="170"/>
        <v>0</v>
      </c>
      <c r="AW1061" s="1">
        <f t="shared" si="171"/>
        <v>0</v>
      </c>
      <c r="AX1061" s="1">
        <f t="shared" si="172"/>
        <v>0</v>
      </c>
    </row>
    <row r="1062" spans="1:50" s="1" customFormat="1" ht="24.95" customHeight="1" outlineLevel="3" x14ac:dyDescent="0.2">
      <c r="A1062" s="11"/>
      <c r="B1062" s="12">
        <v>440</v>
      </c>
      <c r="C1062" s="12">
        <v>690</v>
      </c>
      <c r="D1062" s="12">
        <v>5557</v>
      </c>
      <c r="E1062" s="13" t="s">
        <v>3493</v>
      </c>
      <c r="F1062" s="13" t="s">
        <v>3494</v>
      </c>
      <c r="G1062" s="13" t="s">
        <v>56</v>
      </c>
      <c r="H1062" s="13"/>
      <c r="I1062" s="12">
        <v>2024</v>
      </c>
      <c r="J1062" s="13" t="s">
        <v>3495</v>
      </c>
      <c r="K1062" s="12">
        <v>9785961470307</v>
      </c>
      <c r="L1062" s="13" t="s">
        <v>3496</v>
      </c>
      <c r="M1062" s="12">
        <v>288</v>
      </c>
      <c r="N1062" s="14">
        <v>0.26</v>
      </c>
      <c r="O1062" s="12">
        <v>115</v>
      </c>
      <c r="P1062" s="12">
        <v>201</v>
      </c>
      <c r="Q1062" s="12">
        <v>16</v>
      </c>
      <c r="R1062" s="13" t="s">
        <v>82</v>
      </c>
      <c r="S1062" s="13"/>
      <c r="T1062" s="15">
        <v>2000</v>
      </c>
      <c r="U1062" s="13" t="s">
        <v>52</v>
      </c>
      <c r="V1062" s="13" t="s">
        <v>64</v>
      </c>
      <c r="W1062" s="12">
        <v>10</v>
      </c>
      <c r="X1062" s="33" t="str">
        <f>HYPERLINK("https://www.alpinabook.ru/catalog/book-pisma-o-dobrom-i-prekrasnom","ссылка на книгу")</f>
        <v>ссылка на книгу</v>
      </c>
      <c r="Y1062" s="34" t="str">
        <f>HYPERLINK("https://api-enni.alpina.ru/FilePrivilegesApproval/152","https://api-enni.alpina.ru/FilePrivilegesApproval/152")</f>
        <v>https://api-enni.alpina.ru/FilePrivilegesApproval/152</v>
      </c>
      <c r="Z1062" s="13"/>
      <c r="AT1062" s="1">
        <f t="shared" si="168"/>
        <v>0</v>
      </c>
      <c r="AU1062" s="1">
        <f t="shared" si="169"/>
        <v>0</v>
      </c>
      <c r="AV1062" s="1">
        <f t="shared" si="170"/>
        <v>0</v>
      </c>
      <c r="AW1062" s="1">
        <f t="shared" si="171"/>
        <v>0</v>
      </c>
      <c r="AX1062" s="1">
        <f t="shared" si="172"/>
        <v>0</v>
      </c>
    </row>
    <row r="1063" spans="1:50" s="1" customFormat="1" ht="24.95" customHeight="1" outlineLevel="3" x14ac:dyDescent="0.2">
      <c r="A1063" s="11"/>
      <c r="B1063" s="15">
        <v>1190</v>
      </c>
      <c r="C1063" s="15">
        <v>1690</v>
      </c>
      <c r="D1063" s="12">
        <v>25822</v>
      </c>
      <c r="E1063" s="13" t="s">
        <v>3497</v>
      </c>
      <c r="F1063" s="13" t="s">
        <v>3498</v>
      </c>
      <c r="G1063" s="13" t="s">
        <v>97</v>
      </c>
      <c r="H1063" s="13"/>
      <c r="I1063" s="12">
        <v>2022</v>
      </c>
      <c r="J1063" s="13" t="s">
        <v>3499</v>
      </c>
      <c r="K1063" s="12">
        <v>9785206000399</v>
      </c>
      <c r="L1063" s="13" t="s">
        <v>3500</v>
      </c>
      <c r="M1063" s="12">
        <v>224</v>
      </c>
      <c r="N1063" s="14">
        <v>0.3</v>
      </c>
      <c r="O1063" s="12">
        <v>215</v>
      </c>
      <c r="P1063" s="12">
        <v>296</v>
      </c>
      <c r="Q1063" s="12">
        <v>1</v>
      </c>
      <c r="R1063" s="13" t="s">
        <v>167</v>
      </c>
      <c r="S1063" s="13"/>
      <c r="T1063" s="15">
        <v>2005</v>
      </c>
      <c r="U1063" s="13" t="s">
        <v>268</v>
      </c>
      <c r="V1063" s="13" t="s">
        <v>45</v>
      </c>
      <c r="W1063" s="12">
        <v>10</v>
      </c>
      <c r="X1063" s="33" t="str">
        <f>HYPERLINK("https://www.alpinabook.ru/catalog/book-pp-bazhov","ссылка на книгу")</f>
        <v>ссылка на книгу</v>
      </c>
      <c r="Y1063" s="34" t="str">
        <f>HYPERLINK("https://api-enni.alpina.ru/FilePrivilegesApproval/143","https://api-enni.alpina.ru/FilePrivilegesApproval/143")</f>
        <v>https://api-enni.alpina.ru/FilePrivilegesApproval/143</v>
      </c>
      <c r="Z1063" s="13"/>
      <c r="AT1063" s="1">
        <f t="shared" si="168"/>
        <v>0</v>
      </c>
      <c r="AU1063" s="1">
        <f t="shared" si="169"/>
        <v>0</v>
      </c>
      <c r="AV1063" s="1">
        <f t="shared" si="170"/>
        <v>0</v>
      </c>
      <c r="AW1063" s="1">
        <f t="shared" si="171"/>
        <v>0</v>
      </c>
      <c r="AX1063" s="1">
        <f t="shared" si="172"/>
        <v>0</v>
      </c>
    </row>
    <row r="1064" spans="1:50" s="1" customFormat="1" ht="24.95" customHeight="1" outlineLevel="3" x14ac:dyDescent="0.2">
      <c r="A1064" s="11"/>
      <c r="B1064" s="12">
        <v>990</v>
      </c>
      <c r="C1064" s="15">
        <v>1290</v>
      </c>
      <c r="D1064" s="12">
        <v>26117</v>
      </c>
      <c r="E1064" s="13" t="s">
        <v>3501</v>
      </c>
      <c r="F1064" s="13" t="s">
        <v>3502</v>
      </c>
      <c r="G1064" s="13" t="s">
        <v>97</v>
      </c>
      <c r="H1064" s="13"/>
      <c r="I1064" s="12">
        <v>2023</v>
      </c>
      <c r="J1064" s="13" t="s">
        <v>3503</v>
      </c>
      <c r="K1064" s="12">
        <v>9785206000580</v>
      </c>
      <c r="L1064" s="13" t="s">
        <v>3504</v>
      </c>
      <c r="M1064" s="12">
        <v>368</v>
      </c>
      <c r="N1064" s="14">
        <v>0.7</v>
      </c>
      <c r="O1064" s="12">
        <v>170</v>
      </c>
      <c r="P1064" s="12">
        <v>250</v>
      </c>
      <c r="Q1064" s="12">
        <v>5</v>
      </c>
      <c r="R1064" s="13" t="s">
        <v>94</v>
      </c>
      <c r="S1064" s="13"/>
      <c r="T1064" s="15">
        <v>1500</v>
      </c>
      <c r="U1064" s="13" t="s">
        <v>52</v>
      </c>
      <c r="V1064" s="13" t="s">
        <v>59</v>
      </c>
      <c r="W1064" s="12">
        <v>10</v>
      </c>
      <c r="X1064" s="33" t="str">
        <f>HYPERLINK("https://www.alpinabook.ru/catalog/book-pridvornyy-dlya-tolpy","ссылка на книгу")</f>
        <v>ссылка на книгу</v>
      </c>
      <c r="Y1064" s="34" t="str">
        <f>HYPERLINK("https://api-enni.alpina.ru/FilePrivilegesApproval/168","https://api-enni.alpina.ru/FilePrivilegesApproval/168")</f>
        <v>https://api-enni.alpina.ru/FilePrivilegesApproval/168</v>
      </c>
      <c r="Z1064" s="13"/>
      <c r="AT1064" s="1">
        <f t="shared" si="168"/>
        <v>0</v>
      </c>
      <c r="AU1064" s="1">
        <f t="shared" si="169"/>
        <v>0</v>
      </c>
      <c r="AV1064" s="1">
        <f t="shared" si="170"/>
        <v>0</v>
      </c>
      <c r="AW1064" s="1">
        <f t="shared" si="171"/>
        <v>0</v>
      </c>
      <c r="AX1064" s="1">
        <f t="shared" si="172"/>
        <v>0</v>
      </c>
    </row>
    <row r="1065" spans="1:50" s="1" customFormat="1" ht="21.95" customHeight="1" outlineLevel="3" x14ac:dyDescent="0.2">
      <c r="A1065" s="11"/>
      <c r="B1065" s="12">
        <v>490</v>
      </c>
      <c r="C1065" s="12">
        <v>740</v>
      </c>
      <c r="D1065" s="12">
        <v>28477</v>
      </c>
      <c r="E1065" s="13" t="s">
        <v>3505</v>
      </c>
      <c r="F1065" s="13" t="s">
        <v>3506</v>
      </c>
      <c r="G1065" s="13" t="s">
        <v>86</v>
      </c>
      <c r="H1065" s="13"/>
      <c r="I1065" s="12">
        <v>2024</v>
      </c>
      <c r="J1065" s="13" t="s">
        <v>3507</v>
      </c>
      <c r="K1065" s="12">
        <v>9785002230136</v>
      </c>
      <c r="L1065" s="13" t="s">
        <v>3508</v>
      </c>
      <c r="M1065" s="12">
        <v>208</v>
      </c>
      <c r="N1065" s="14">
        <v>0.21</v>
      </c>
      <c r="O1065" s="12">
        <v>210</v>
      </c>
      <c r="P1065" s="12">
        <v>140</v>
      </c>
      <c r="Q1065" s="12">
        <v>16</v>
      </c>
      <c r="R1065" s="13" t="s">
        <v>43</v>
      </c>
      <c r="S1065" s="13"/>
      <c r="T1065" s="15">
        <v>3000</v>
      </c>
      <c r="U1065" s="13" t="s">
        <v>44</v>
      </c>
      <c r="V1065" s="13" t="s">
        <v>89</v>
      </c>
      <c r="W1065" s="12">
        <v>20</v>
      </c>
      <c r="X1065" s="33" t="str">
        <f>HYPERLINK("https://www.alpinabook.ru/catalog/book-sem-let-v-krestakh","ссылка на книгу")</f>
        <v>ссылка на книгу</v>
      </c>
      <c r="Y1065" s="34" t="str">
        <f>HYPERLINK("","")</f>
        <v/>
      </c>
      <c r="Z1065" s="13"/>
      <c r="AT1065" s="1">
        <f t="shared" si="168"/>
        <v>0</v>
      </c>
      <c r="AU1065" s="1">
        <f t="shared" si="169"/>
        <v>0</v>
      </c>
      <c r="AV1065" s="1">
        <f t="shared" si="170"/>
        <v>0</v>
      </c>
      <c r="AW1065" s="1">
        <f t="shared" si="171"/>
        <v>0</v>
      </c>
      <c r="AX1065" s="1">
        <f t="shared" si="172"/>
        <v>0</v>
      </c>
    </row>
    <row r="1066" spans="1:50" s="1" customFormat="1" ht="24.95" customHeight="1" outlineLevel="3" x14ac:dyDescent="0.2">
      <c r="A1066" s="11"/>
      <c r="B1066" s="12">
        <v>540</v>
      </c>
      <c r="C1066" s="12">
        <v>790</v>
      </c>
      <c r="D1066" s="12">
        <v>30596</v>
      </c>
      <c r="E1066" s="13" t="s">
        <v>3509</v>
      </c>
      <c r="F1066" s="13" t="s">
        <v>3510</v>
      </c>
      <c r="G1066" s="13" t="s">
        <v>3511</v>
      </c>
      <c r="H1066" s="13" t="s">
        <v>40</v>
      </c>
      <c r="I1066" s="12">
        <v>2024</v>
      </c>
      <c r="J1066" s="13" t="s">
        <v>3512</v>
      </c>
      <c r="K1066" s="12">
        <v>9785002161751</v>
      </c>
      <c r="L1066" s="13" t="s">
        <v>3513</v>
      </c>
      <c r="M1066" s="12">
        <v>416</v>
      </c>
      <c r="N1066" s="14">
        <v>0.44</v>
      </c>
      <c r="O1066" s="12">
        <v>140</v>
      </c>
      <c r="P1066" s="12">
        <v>210</v>
      </c>
      <c r="Q1066" s="12">
        <v>8</v>
      </c>
      <c r="R1066" s="13" t="s">
        <v>43</v>
      </c>
      <c r="S1066" s="13" t="s">
        <v>3514</v>
      </c>
      <c r="T1066" s="15">
        <v>3000</v>
      </c>
      <c r="U1066" s="13" t="s">
        <v>44</v>
      </c>
      <c r="V1066" s="13" t="s">
        <v>89</v>
      </c>
      <c r="W1066" s="12">
        <v>20</v>
      </c>
      <c r="X1066" s="33" t="str">
        <f>HYPERLINK("https://www.alpinabook.ru/catalog/book-syn-khamasa","ссылка на книгу")</f>
        <v>ссылка на книгу</v>
      </c>
      <c r="Y1066" s="34" t="str">
        <f>HYPERLINK("","")</f>
        <v/>
      </c>
      <c r="Z1066" s="13"/>
      <c r="AT1066" s="1">
        <f t="shared" si="168"/>
        <v>0</v>
      </c>
      <c r="AU1066" s="1">
        <f t="shared" si="169"/>
        <v>0</v>
      </c>
      <c r="AV1066" s="1">
        <f t="shared" si="170"/>
        <v>0</v>
      </c>
      <c r="AW1066" s="1">
        <f t="shared" si="171"/>
        <v>0</v>
      </c>
      <c r="AX1066" s="1">
        <f t="shared" si="172"/>
        <v>0</v>
      </c>
    </row>
    <row r="1067" spans="1:50" s="1" customFormat="1" ht="24.95" customHeight="1" outlineLevel="3" x14ac:dyDescent="0.2">
      <c r="A1067" s="11"/>
      <c r="B1067" s="12">
        <v>540</v>
      </c>
      <c r="C1067" s="12">
        <v>740</v>
      </c>
      <c r="D1067" s="12">
        <v>26157</v>
      </c>
      <c r="E1067" s="13" t="s">
        <v>727</v>
      </c>
      <c r="F1067" s="13" t="s">
        <v>3515</v>
      </c>
      <c r="G1067" s="13" t="s">
        <v>86</v>
      </c>
      <c r="H1067" s="13" t="s">
        <v>164</v>
      </c>
      <c r="I1067" s="12">
        <v>2024</v>
      </c>
      <c r="J1067" s="13" t="s">
        <v>3516</v>
      </c>
      <c r="K1067" s="12">
        <v>9785001397434</v>
      </c>
      <c r="L1067" s="13" t="s">
        <v>3517</v>
      </c>
      <c r="M1067" s="12">
        <v>196</v>
      </c>
      <c r="N1067" s="14">
        <v>0.21</v>
      </c>
      <c r="O1067" s="12">
        <v>120</v>
      </c>
      <c r="P1067" s="12">
        <v>180</v>
      </c>
      <c r="Q1067" s="12">
        <v>20</v>
      </c>
      <c r="R1067" s="13" t="s">
        <v>731</v>
      </c>
      <c r="S1067" s="13"/>
      <c r="T1067" s="15">
        <v>1500</v>
      </c>
      <c r="U1067" s="13" t="s">
        <v>52</v>
      </c>
      <c r="V1067" s="13" t="s">
        <v>45</v>
      </c>
      <c r="W1067" s="12">
        <v>10</v>
      </c>
      <c r="X1067" s="33" t="str">
        <f>HYPERLINK("https://www.alpinabook.ru/catalog/book-vospominaniya-karmannyy-format","ссылка на книгу")</f>
        <v>ссылка на книгу</v>
      </c>
      <c r="Y1067" s="34" t="str">
        <f>HYPERLINK("https://api-enni.alpina.ru/FilePrivilegesApproval/190","https://api-enni.alpina.ru/FilePrivilegesApproval/190")</f>
        <v>https://api-enni.alpina.ru/FilePrivilegesApproval/190</v>
      </c>
      <c r="Z1067" s="13"/>
      <c r="AT1067" s="1">
        <f t="shared" si="168"/>
        <v>0</v>
      </c>
      <c r="AU1067" s="1">
        <f t="shared" si="169"/>
        <v>0</v>
      </c>
      <c r="AV1067" s="1">
        <f t="shared" si="170"/>
        <v>0</v>
      </c>
      <c r="AW1067" s="1">
        <f t="shared" si="171"/>
        <v>0</v>
      </c>
      <c r="AX1067" s="1">
        <f t="shared" si="172"/>
        <v>0</v>
      </c>
    </row>
    <row r="1068" spans="1:50" s="1" customFormat="1" ht="24.95" customHeight="1" outlineLevel="3" x14ac:dyDescent="0.2">
      <c r="A1068" s="11"/>
      <c r="B1068" s="12">
        <v>590</v>
      </c>
      <c r="C1068" s="12">
        <v>840</v>
      </c>
      <c r="D1068" s="12">
        <v>18777</v>
      </c>
      <c r="E1068" s="13" t="s">
        <v>3518</v>
      </c>
      <c r="F1068" s="13" t="s">
        <v>3519</v>
      </c>
      <c r="G1068" s="13" t="s">
        <v>86</v>
      </c>
      <c r="H1068" s="13"/>
      <c r="I1068" s="12">
        <v>2021</v>
      </c>
      <c r="J1068" s="13" t="s">
        <v>3520</v>
      </c>
      <c r="K1068" s="12">
        <v>9785001393214</v>
      </c>
      <c r="L1068" s="13" t="s">
        <v>3521</v>
      </c>
      <c r="M1068" s="12">
        <v>248</v>
      </c>
      <c r="N1068" s="14">
        <v>0.4</v>
      </c>
      <c r="O1068" s="12">
        <v>146</v>
      </c>
      <c r="P1068" s="12">
        <v>216</v>
      </c>
      <c r="Q1068" s="12">
        <v>12</v>
      </c>
      <c r="R1068" s="13" t="s">
        <v>43</v>
      </c>
      <c r="S1068" s="13"/>
      <c r="T1068" s="15">
        <v>1500</v>
      </c>
      <c r="U1068" s="13" t="s">
        <v>52</v>
      </c>
      <c r="V1068" s="13" t="s">
        <v>45</v>
      </c>
      <c r="W1068" s="12">
        <v>10</v>
      </c>
      <c r="X1068" s="33" t="str">
        <f>HYPERLINK("https://www.alpinabook.ru/catalog/book-656772","ссылка на книгу")</f>
        <v>ссылка на книгу</v>
      </c>
      <c r="Y1068" s="34" t="str">
        <f>HYPERLINK("https://api-enni.alpina.ru/FilePrivilegesApproval/207","https://api-enni.alpina.ru/FilePrivilegesApproval/207")</f>
        <v>https://api-enni.alpina.ru/FilePrivilegesApproval/207</v>
      </c>
      <c r="Z1068" s="13"/>
      <c r="AT1068" s="1">
        <f t="shared" si="168"/>
        <v>0</v>
      </c>
      <c r="AU1068" s="1">
        <f t="shared" si="169"/>
        <v>0</v>
      </c>
      <c r="AV1068" s="1">
        <f t="shared" si="170"/>
        <v>0</v>
      </c>
      <c r="AW1068" s="1">
        <f t="shared" si="171"/>
        <v>0</v>
      </c>
      <c r="AX1068" s="1">
        <f t="shared" si="172"/>
        <v>0</v>
      </c>
    </row>
    <row r="1069" spans="1:50" s="1" customFormat="1" ht="24.95" customHeight="1" outlineLevel="3" x14ac:dyDescent="0.2">
      <c r="A1069" s="11"/>
      <c r="B1069" s="12">
        <v>690</v>
      </c>
      <c r="C1069" s="12">
        <v>990</v>
      </c>
      <c r="D1069" s="12">
        <v>25823</v>
      </c>
      <c r="E1069" s="13" t="s">
        <v>3522</v>
      </c>
      <c r="F1069" s="13" t="s">
        <v>3523</v>
      </c>
      <c r="G1069" s="13" t="s">
        <v>86</v>
      </c>
      <c r="H1069" s="13" t="s">
        <v>40</v>
      </c>
      <c r="I1069" s="12">
        <v>2023</v>
      </c>
      <c r="J1069" s="13" t="s">
        <v>3524</v>
      </c>
      <c r="K1069" s="12">
        <v>9785001397120</v>
      </c>
      <c r="L1069" s="13" t="s">
        <v>3525</v>
      </c>
      <c r="M1069" s="12">
        <v>590</v>
      </c>
      <c r="N1069" s="14">
        <v>0.54</v>
      </c>
      <c r="O1069" s="12">
        <v>150</v>
      </c>
      <c r="P1069" s="12">
        <v>210</v>
      </c>
      <c r="Q1069" s="12">
        <v>8</v>
      </c>
      <c r="R1069" s="13" t="s">
        <v>43</v>
      </c>
      <c r="S1069" s="13"/>
      <c r="T1069" s="15">
        <v>5000</v>
      </c>
      <c r="U1069" s="13" t="s">
        <v>44</v>
      </c>
      <c r="V1069" s="13" t="s">
        <v>59</v>
      </c>
      <c r="W1069" s="12">
        <v>10</v>
      </c>
      <c r="X1069" s="33" t="str">
        <f>HYPERLINK("https://www.alpinabook.ru/catalog/book-uinston-cherchill","ссылка на книгу")</f>
        <v>ссылка на книгу</v>
      </c>
      <c r="Y1069" s="34" t="str">
        <f>HYPERLINK("https://api-enni.alpina.ru/FilePrivilegesApproval/304","https://api-enni.alpina.ru/FilePrivilegesApproval/304")</f>
        <v>https://api-enni.alpina.ru/FilePrivilegesApproval/304</v>
      </c>
      <c r="Z1069" s="13"/>
      <c r="AT1069" s="1">
        <f t="shared" si="168"/>
        <v>0</v>
      </c>
      <c r="AU1069" s="1">
        <f t="shared" si="169"/>
        <v>0</v>
      </c>
      <c r="AV1069" s="1">
        <f t="shared" si="170"/>
        <v>0</v>
      </c>
      <c r="AW1069" s="1">
        <f t="shared" si="171"/>
        <v>0</v>
      </c>
      <c r="AX1069" s="1">
        <f t="shared" si="172"/>
        <v>0</v>
      </c>
    </row>
    <row r="1070" spans="1:50" s="1" customFormat="1" ht="24.95" customHeight="1" outlineLevel="3" x14ac:dyDescent="0.2">
      <c r="A1070" s="11"/>
      <c r="B1070" s="12">
        <v>540</v>
      </c>
      <c r="C1070" s="12">
        <v>540</v>
      </c>
      <c r="D1070" s="12">
        <v>23681</v>
      </c>
      <c r="E1070" s="13" t="s">
        <v>580</v>
      </c>
      <c r="F1070" s="13" t="s">
        <v>3526</v>
      </c>
      <c r="G1070" s="13" t="s">
        <v>56</v>
      </c>
      <c r="H1070" s="13"/>
      <c r="I1070" s="12">
        <v>2022</v>
      </c>
      <c r="J1070" s="13" t="s">
        <v>3527</v>
      </c>
      <c r="K1070" s="12">
        <v>9785961474329</v>
      </c>
      <c r="L1070" s="13" t="s">
        <v>3528</v>
      </c>
      <c r="M1070" s="12">
        <v>234</v>
      </c>
      <c r="N1070" s="14">
        <v>0.38</v>
      </c>
      <c r="O1070" s="12">
        <v>146</v>
      </c>
      <c r="P1070" s="12">
        <v>216</v>
      </c>
      <c r="Q1070" s="12">
        <v>18</v>
      </c>
      <c r="R1070" s="13" t="s">
        <v>43</v>
      </c>
      <c r="S1070" s="13"/>
      <c r="T1070" s="15">
        <v>1500</v>
      </c>
      <c r="U1070" s="13" t="s">
        <v>52</v>
      </c>
      <c r="V1070" s="13" t="s">
        <v>59</v>
      </c>
      <c r="W1070" s="12">
        <v>10</v>
      </c>
      <c r="X1070" s="33" t="str">
        <f>HYPERLINK("https://www.alpinabook.ru/catalog/book-khard-soft","ссылка на книгу")</f>
        <v>ссылка на книгу</v>
      </c>
      <c r="Y1070" s="34" t="str">
        <f>HYPERLINK("https://api-enni.alpina.ru/FilePrivilegesApproval/121","https://api-enni.alpina.ru/FilePrivilegesApproval/121")</f>
        <v>https://api-enni.alpina.ru/FilePrivilegesApproval/121</v>
      </c>
      <c r="Z1070" s="13"/>
      <c r="AT1070" s="1">
        <f t="shared" si="168"/>
        <v>0</v>
      </c>
      <c r="AU1070" s="1">
        <f t="shared" si="169"/>
        <v>0</v>
      </c>
      <c r="AV1070" s="1">
        <f t="shared" si="170"/>
        <v>0</v>
      </c>
      <c r="AW1070" s="1">
        <f t="shared" si="171"/>
        <v>0</v>
      </c>
      <c r="AX1070" s="1">
        <f t="shared" si="172"/>
        <v>0</v>
      </c>
    </row>
    <row r="1071" spans="1:50" s="1" customFormat="1" ht="24.95" customHeight="1" outlineLevel="3" x14ac:dyDescent="0.2">
      <c r="A1071" s="11"/>
      <c r="B1071" s="12">
        <v>790</v>
      </c>
      <c r="C1071" s="15">
        <v>1190</v>
      </c>
      <c r="D1071" s="12">
        <v>27758</v>
      </c>
      <c r="E1071" s="13" t="s">
        <v>3529</v>
      </c>
      <c r="F1071" s="13" t="s">
        <v>3530</v>
      </c>
      <c r="G1071" s="13" t="s">
        <v>86</v>
      </c>
      <c r="H1071" s="13" t="s">
        <v>40</v>
      </c>
      <c r="I1071" s="12">
        <v>2025</v>
      </c>
      <c r="J1071" s="13" t="s">
        <v>3531</v>
      </c>
      <c r="K1071" s="12">
        <v>9785001399582</v>
      </c>
      <c r="L1071" s="13" t="s">
        <v>3532</v>
      </c>
      <c r="M1071" s="12">
        <v>528</v>
      </c>
      <c r="N1071" s="14">
        <v>0.66</v>
      </c>
      <c r="O1071" s="12">
        <v>140</v>
      </c>
      <c r="P1071" s="12">
        <v>210</v>
      </c>
      <c r="Q1071" s="12">
        <v>8</v>
      </c>
      <c r="R1071" s="13" t="s">
        <v>43</v>
      </c>
      <c r="S1071" s="13"/>
      <c r="T1071" s="15">
        <v>1500</v>
      </c>
      <c r="U1071" s="13" t="s">
        <v>44</v>
      </c>
      <c r="V1071" s="13" t="s">
        <v>89</v>
      </c>
      <c r="W1071" s="12">
        <v>10</v>
      </c>
      <c r="X1071" s="33" t="str">
        <f>HYPERLINK("https://www.alpinabook.ru/catalog/book-chernobyl","ссылка на книгу")</f>
        <v>ссылка на книгу</v>
      </c>
      <c r="Y1071" s="34" t="str">
        <f>HYPERLINK("https://api-enni.alpina.ru/FilePrivilegesApproval/151","https://api-enni.alpina.ru/FilePrivilegesApproval/151")</f>
        <v>https://api-enni.alpina.ru/FilePrivilegesApproval/151</v>
      </c>
      <c r="Z1071" s="13" t="s">
        <v>732</v>
      </c>
      <c r="AT1071" s="1">
        <f t="shared" si="168"/>
        <v>0</v>
      </c>
      <c r="AU1071" s="1">
        <f t="shared" si="169"/>
        <v>0</v>
      </c>
      <c r="AV1071" s="1">
        <f t="shared" si="170"/>
        <v>0</v>
      </c>
      <c r="AW1071" s="1">
        <f t="shared" si="171"/>
        <v>0</v>
      </c>
      <c r="AX1071" s="1">
        <f t="shared" si="172"/>
        <v>0</v>
      </c>
    </row>
    <row r="1072" spans="1:50" s="1" customFormat="1" ht="24.95" customHeight="1" outlineLevel="3" x14ac:dyDescent="0.2">
      <c r="A1072" s="11"/>
      <c r="B1072" s="12">
        <v>790</v>
      </c>
      <c r="C1072" s="15">
        <v>1190</v>
      </c>
      <c r="D1072" s="12">
        <v>11694</v>
      </c>
      <c r="E1072" s="13" t="s">
        <v>3533</v>
      </c>
      <c r="F1072" s="13" t="s">
        <v>3534</v>
      </c>
      <c r="G1072" s="13" t="s">
        <v>86</v>
      </c>
      <c r="H1072" s="13" t="s">
        <v>40</v>
      </c>
      <c r="I1072" s="12">
        <v>2023</v>
      </c>
      <c r="J1072" s="13" t="s">
        <v>3535</v>
      </c>
      <c r="K1072" s="12">
        <v>9785001390855</v>
      </c>
      <c r="L1072" s="13" t="s">
        <v>3536</v>
      </c>
      <c r="M1072" s="12">
        <v>448</v>
      </c>
      <c r="N1072" s="14">
        <v>0.53</v>
      </c>
      <c r="O1072" s="12">
        <v>146</v>
      </c>
      <c r="P1072" s="12">
        <v>216</v>
      </c>
      <c r="Q1072" s="12">
        <v>10</v>
      </c>
      <c r="R1072" s="13" t="s">
        <v>43</v>
      </c>
      <c r="S1072" s="13"/>
      <c r="T1072" s="15">
        <v>1500</v>
      </c>
      <c r="U1072" s="13" t="s">
        <v>52</v>
      </c>
      <c r="V1072" s="13" t="s">
        <v>59</v>
      </c>
      <c r="W1072" s="12">
        <v>10</v>
      </c>
      <c r="X1072" s="33" t="str">
        <f>HYPERLINK("https://www.alpinabook.ru/catalog/book-cherchill-i-oruell","ссылка на книгу")</f>
        <v>ссылка на книгу</v>
      </c>
      <c r="Y1072" s="34" t="str">
        <f>HYPERLINK("https://api-enni.alpina.ru/FilePrivilegesApproval/148","https://api-enni.alpina.ru/FilePrivilegesApproval/148")</f>
        <v>https://api-enni.alpina.ru/FilePrivilegesApproval/148</v>
      </c>
      <c r="Z1072" s="13"/>
      <c r="AT1072" s="1">
        <f t="shared" si="168"/>
        <v>0</v>
      </c>
      <c r="AU1072" s="1">
        <f t="shared" si="169"/>
        <v>0</v>
      </c>
      <c r="AV1072" s="1">
        <f t="shared" si="170"/>
        <v>0</v>
      </c>
      <c r="AW1072" s="1">
        <f t="shared" si="171"/>
        <v>0</v>
      </c>
      <c r="AX1072" s="1">
        <f t="shared" si="172"/>
        <v>0</v>
      </c>
    </row>
    <row r="1073" spans="1:50" s="1" customFormat="1" ht="24.95" customHeight="1" outlineLevel="3" x14ac:dyDescent="0.2">
      <c r="A1073" s="11"/>
      <c r="B1073" s="12">
        <v>590</v>
      </c>
      <c r="C1073" s="12">
        <v>590</v>
      </c>
      <c r="D1073" s="12">
        <v>9104</v>
      </c>
      <c r="E1073" s="13" t="s">
        <v>3537</v>
      </c>
      <c r="F1073" s="13" t="s">
        <v>3538</v>
      </c>
      <c r="G1073" s="13" t="s">
        <v>56</v>
      </c>
      <c r="H1073" s="13" t="s">
        <v>40</v>
      </c>
      <c r="I1073" s="12">
        <v>2020</v>
      </c>
      <c r="J1073" s="13" t="s">
        <v>3539</v>
      </c>
      <c r="K1073" s="12">
        <v>9785961433920</v>
      </c>
      <c r="L1073" s="13" t="s">
        <v>3540</v>
      </c>
      <c r="M1073" s="12">
        <v>240</v>
      </c>
      <c r="N1073" s="14">
        <v>0.41</v>
      </c>
      <c r="O1073" s="12">
        <v>150</v>
      </c>
      <c r="P1073" s="12">
        <v>220</v>
      </c>
      <c r="Q1073" s="12">
        <v>14</v>
      </c>
      <c r="R1073" s="13" t="s">
        <v>43</v>
      </c>
      <c r="S1073" s="13"/>
      <c r="T1073" s="15">
        <v>1000</v>
      </c>
      <c r="U1073" s="13" t="s">
        <v>52</v>
      </c>
      <c r="V1073" s="13" t="s">
        <v>45</v>
      </c>
      <c r="W1073" s="12">
        <v>10</v>
      </c>
      <c r="X1073" s="33" t="str">
        <f>HYPERLINK("https://www.alpinabook.ru/catalog/book-554660","ссылка на книгу")</f>
        <v>ссылка на книгу</v>
      </c>
      <c r="Y1073" s="34" t="str">
        <f>HYPERLINK("https://api-enni.alpina.ru/FilePrivilegesApproval/72","https://api-enni.alpina.ru/FilePrivilegesApproval/72")</f>
        <v>https://api-enni.alpina.ru/FilePrivilegesApproval/72</v>
      </c>
      <c r="Z1073" s="13"/>
      <c r="AT1073" s="1">
        <f t="shared" si="168"/>
        <v>0</v>
      </c>
      <c r="AU1073" s="1">
        <f t="shared" si="169"/>
        <v>0</v>
      </c>
      <c r="AV1073" s="1">
        <f t="shared" si="170"/>
        <v>0</v>
      </c>
      <c r="AW1073" s="1">
        <f t="shared" si="171"/>
        <v>0</v>
      </c>
      <c r="AX1073" s="1">
        <f t="shared" si="172"/>
        <v>0</v>
      </c>
    </row>
    <row r="1074" spans="1:50" ht="11.1" customHeight="1" outlineLevel="2" x14ac:dyDescent="0.2">
      <c r="A1074" s="40" t="s">
        <v>3541</v>
      </c>
      <c r="B1074" s="40"/>
      <c r="C1074" s="40"/>
      <c r="D1074" s="40"/>
      <c r="E1074" s="40"/>
      <c r="F1074" s="40"/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20"/>
    </row>
    <row r="1075" spans="1:50" s="1" customFormat="1" ht="24.95" customHeight="1" outlineLevel="3" x14ac:dyDescent="0.2">
      <c r="A1075" s="11"/>
      <c r="B1075" s="12">
        <v>690</v>
      </c>
      <c r="C1075" s="12">
        <v>990</v>
      </c>
      <c r="D1075" s="12">
        <v>28649</v>
      </c>
      <c r="E1075" s="13" t="s">
        <v>2349</v>
      </c>
      <c r="F1075" s="13" t="s">
        <v>3542</v>
      </c>
      <c r="G1075" s="13" t="s">
        <v>86</v>
      </c>
      <c r="H1075" s="13"/>
      <c r="I1075" s="12">
        <v>2024</v>
      </c>
      <c r="J1075" s="13" t="s">
        <v>3543</v>
      </c>
      <c r="K1075" s="12">
        <v>9785002230396</v>
      </c>
      <c r="L1075" s="13" t="s">
        <v>3544</v>
      </c>
      <c r="M1075" s="12">
        <v>448</v>
      </c>
      <c r="N1075" s="14">
        <v>0.61</v>
      </c>
      <c r="O1075" s="12">
        <v>150</v>
      </c>
      <c r="P1075" s="12">
        <v>220</v>
      </c>
      <c r="Q1075" s="12">
        <v>10</v>
      </c>
      <c r="R1075" s="13" t="s">
        <v>43</v>
      </c>
      <c r="S1075" s="13"/>
      <c r="T1075" s="15">
        <v>3000</v>
      </c>
      <c r="U1075" s="13" t="s">
        <v>52</v>
      </c>
      <c r="V1075" s="13" t="s">
        <v>64</v>
      </c>
      <c r="W1075" s="12">
        <v>10</v>
      </c>
      <c r="X1075" s="33" t="str">
        <f>HYPERLINK("https://www.alpinabook.ru/catalog/book-slovo-o-polku-igoreve-vzglyad-lingvista","ссылка на книгу")</f>
        <v>ссылка на книгу</v>
      </c>
      <c r="Y1075" s="34" t="str">
        <f>HYPERLINK("https://api-enni.alpina.ru/FilePrivilegesApproval/312","https://api-enni.alpina.ru/FilePrivilegesApproval/312")</f>
        <v>https://api-enni.alpina.ru/FilePrivilegesApproval/312</v>
      </c>
      <c r="Z1075" s="13"/>
      <c r="AT1075" s="1">
        <f t="shared" ref="AT1075:AT1084" si="173">IF($A1075&lt;&gt;0,1,0)</f>
        <v>0</v>
      </c>
      <c r="AU1075" s="1">
        <f t="shared" ref="AU1075:AU1084" si="174">$A1075*$B1075</f>
        <v>0</v>
      </c>
      <c r="AV1075" s="1">
        <f t="shared" ref="AV1075:AV1084" si="175">$A1075*$N1075</f>
        <v>0</v>
      </c>
      <c r="AW1075" s="1">
        <f t="shared" ref="AW1075:AW1084" si="176">IF($Q1075=0,0,INT($A1075/$Q1075))</f>
        <v>0</v>
      </c>
      <c r="AX1075" s="1">
        <f t="shared" ref="AX1075:AX1084" si="177">$A1075-$AW1075*$Q1075</f>
        <v>0</v>
      </c>
    </row>
    <row r="1076" spans="1:50" s="1" customFormat="1" ht="24.95" customHeight="1" outlineLevel="3" x14ac:dyDescent="0.2">
      <c r="A1076" s="26"/>
      <c r="B1076" s="27">
        <v>530</v>
      </c>
      <c r="C1076" s="27">
        <v>530</v>
      </c>
      <c r="D1076" s="27">
        <v>12677</v>
      </c>
      <c r="E1076" s="29" t="s">
        <v>3545</v>
      </c>
      <c r="F1076" s="29" t="s">
        <v>3546</v>
      </c>
      <c r="G1076" s="29" t="s">
        <v>86</v>
      </c>
      <c r="H1076" s="29"/>
      <c r="I1076" s="27">
        <v>2020</v>
      </c>
      <c r="J1076" s="29" t="s">
        <v>3547</v>
      </c>
      <c r="K1076" s="27">
        <v>9785001392958</v>
      </c>
      <c r="L1076" s="29" t="s">
        <v>3548</v>
      </c>
      <c r="M1076" s="27">
        <v>268</v>
      </c>
      <c r="N1076" s="30">
        <v>0.4</v>
      </c>
      <c r="O1076" s="27">
        <v>146</v>
      </c>
      <c r="P1076" s="27">
        <v>216</v>
      </c>
      <c r="Q1076" s="27">
        <v>16</v>
      </c>
      <c r="R1076" s="29" t="s">
        <v>43</v>
      </c>
      <c r="S1076" s="29" t="s">
        <v>2475</v>
      </c>
      <c r="T1076" s="28">
        <v>2000</v>
      </c>
      <c r="U1076" s="29" t="s">
        <v>52</v>
      </c>
      <c r="V1076" s="29" t="s">
        <v>59</v>
      </c>
      <c r="W1076" s="27">
        <v>10</v>
      </c>
      <c r="X1076" s="37" t="str">
        <f>HYPERLINK("https://www.alpinabook.ru/catalog/book-643998","ссылка на книгу")</f>
        <v>ссылка на книгу</v>
      </c>
      <c r="Y1076" s="38" t="str">
        <f>HYPERLINK("https://api-enni.alpina.ru/FilePrivilegesApproval/263","https://api-enni.alpina.ru/FilePrivilegesApproval/263")</f>
        <v>https://api-enni.alpina.ru/FilePrivilegesApproval/263</v>
      </c>
      <c r="Z1076" s="29"/>
      <c r="AT1076" s="1">
        <f t="shared" si="173"/>
        <v>0</v>
      </c>
      <c r="AU1076" s="1">
        <f t="shared" si="174"/>
        <v>0</v>
      </c>
      <c r="AV1076" s="1">
        <f t="shared" si="175"/>
        <v>0</v>
      </c>
      <c r="AW1076" s="1">
        <f t="shared" si="176"/>
        <v>0</v>
      </c>
      <c r="AX1076" s="1">
        <f t="shared" si="177"/>
        <v>0</v>
      </c>
    </row>
    <row r="1077" spans="1:50" s="1" customFormat="1" ht="24.95" customHeight="1" outlineLevel="3" x14ac:dyDescent="0.2">
      <c r="A1077" s="11"/>
      <c r="B1077" s="12">
        <v>290</v>
      </c>
      <c r="C1077" s="12">
        <v>540</v>
      </c>
      <c r="D1077" s="12">
        <v>28604</v>
      </c>
      <c r="E1077" s="13" t="s">
        <v>3545</v>
      </c>
      <c r="F1077" s="13" t="s">
        <v>3549</v>
      </c>
      <c r="G1077" s="13" t="s">
        <v>86</v>
      </c>
      <c r="H1077" s="13"/>
      <c r="I1077" s="12">
        <v>2023</v>
      </c>
      <c r="J1077" s="13" t="s">
        <v>3550</v>
      </c>
      <c r="K1077" s="12">
        <v>9785002230310</v>
      </c>
      <c r="L1077" s="13" t="s">
        <v>3551</v>
      </c>
      <c r="M1077" s="12">
        <v>320</v>
      </c>
      <c r="N1077" s="14">
        <v>0.21</v>
      </c>
      <c r="O1077" s="12">
        <v>120</v>
      </c>
      <c r="P1077" s="12">
        <v>170</v>
      </c>
      <c r="Q1077" s="12">
        <v>20</v>
      </c>
      <c r="R1077" s="13" t="s">
        <v>75</v>
      </c>
      <c r="S1077" s="13" t="s">
        <v>596</v>
      </c>
      <c r="T1077" s="15">
        <v>2000</v>
      </c>
      <c r="U1077" s="13" t="s">
        <v>44</v>
      </c>
      <c r="V1077" s="13" t="s">
        <v>45</v>
      </c>
      <c r="W1077" s="12">
        <v>10</v>
      </c>
      <c r="X1077" s="33" t="str">
        <f>HYPERLINK("https://www.alpinabook.ru/catalog/book-pantalonyfrakzhilet","ссылка на книгу")</f>
        <v>ссылка на книгу</v>
      </c>
      <c r="Y1077" s="34" t="str">
        <f>HYPERLINK("https://api-enni.alpina.ru/FilePrivilegesApproval/263","https://api-enni.alpina.ru/FilePrivilegesApproval/263")</f>
        <v>https://api-enni.alpina.ru/FilePrivilegesApproval/263</v>
      </c>
      <c r="Z1077" s="13"/>
      <c r="AT1077" s="1">
        <f t="shared" si="173"/>
        <v>0</v>
      </c>
      <c r="AU1077" s="1">
        <f t="shared" si="174"/>
        <v>0</v>
      </c>
      <c r="AV1077" s="1">
        <f t="shared" si="175"/>
        <v>0</v>
      </c>
      <c r="AW1077" s="1">
        <f t="shared" si="176"/>
        <v>0</v>
      </c>
      <c r="AX1077" s="1">
        <f t="shared" si="177"/>
        <v>0</v>
      </c>
    </row>
    <row r="1078" spans="1:50" s="1" customFormat="1" ht="24.95" customHeight="1" outlineLevel="3" x14ac:dyDescent="0.2">
      <c r="A1078" s="11"/>
      <c r="B1078" s="12">
        <v>640</v>
      </c>
      <c r="C1078" s="12">
        <v>940</v>
      </c>
      <c r="D1078" s="12">
        <v>6673</v>
      </c>
      <c r="E1078" s="13" t="s">
        <v>3552</v>
      </c>
      <c r="F1078" s="13" t="s">
        <v>3553</v>
      </c>
      <c r="G1078" s="13" t="s">
        <v>97</v>
      </c>
      <c r="H1078" s="13"/>
      <c r="I1078" s="12">
        <v>2024</v>
      </c>
      <c r="J1078" s="13" t="s">
        <v>3554</v>
      </c>
      <c r="K1078" s="12">
        <v>9785907394582</v>
      </c>
      <c r="L1078" s="13" t="s">
        <v>3555</v>
      </c>
      <c r="M1078" s="12">
        <v>572</v>
      </c>
      <c r="N1078" s="14">
        <v>0.59</v>
      </c>
      <c r="O1078" s="12">
        <v>150</v>
      </c>
      <c r="P1078" s="12">
        <v>220</v>
      </c>
      <c r="Q1078" s="12">
        <v>4</v>
      </c>
      <c r="R1078" s="13" t="s">
        <v>43</v>
      </c>
      <c r="S1078" s="13"/>
      <c r="T1078" s="15">
        <v>1000</v>
      </c>
      <c r="U1078" s="13" t="s">
        <v>52</v>
      </c>
      <c r="V1078" s="13" t="s">
        <v>64</v>
      </c>
      <c r="W1078" s="12">
        <v>10</v>
      </c>
      <c r="X1078" s="33" t="str">
        <f>HYPERLINK("https://www.alpinabook.ru/catalog/book-speak-and-write-like-the-economist","ссылка на книгу")</f>
        <v>ссылка на книгу</v>
      </c>
      <c r="Y1078" s="34" t="str">
        <f>HYPERLINK("https://api-enni.alpina.ru/FilePrivilegesApproval/120","https://api-enni.alpina.ru/FilePrivilegesApproval/120")</f>
        <v>https://api-enni.alpina.ru/FilePrivilegesApproval/120</v>
      </c>
      <c r="Z1078" s="13"/>
      <c r="AT1078" s="1">
        <f t="shared" si="173"/>
        <v>0</v>
      </c>
      <c r="AU1078" s="1">
        <f t="shared" si="174"/>
        <v>0</v>
      </c>
      <c r="AV1078" s="1">
        <f t="shared" si="175"/>
        <v>0</v>
      </c>
      <c r="AW1078" s="1">
        <f t="shared" si="176"/>
        <v>0</v>
      </c>
      <c r="AX1078" s="1">
        <f t="shared" si="177"/>
        <v>0</v>
      </c>
    </row>
    <row r="1079" spans="1:50" s="1" customFormat="1" ht="24.95" customHeight="1" outlineLevel="3" x14ac:dyDescent="0.2">
      <c r="A1079" s="11"/>
      <c r="B1079" s="12">
        <v>350</v>
      </c>
      <c r="C1079" s="12">
        <v>540</v>
      </c>
      <c r="D1079" s="12">
        <v>29494</v>
      </c>
      <c r="E1079" s="13" t="s">
        <v>3556</v>
      </c>
      <c r="F1079" s="13" t="s">
        <v>3557</v>
      </c>
      <c r="G1079" s="13" t="s">
        <v>86</v>
      </c>
      <c r="H1079" s="13"/>
      <c r="I1079" s="12">
        <v>2024</v>
      </c>
      <c r="J1079" s="13" t="s">
        <v>3558</v>
      </c>
      <c r="K1079" s="12">
        <v>9785002231454</v>
      </c>
      <c r="L1079" s="13" t="s">
        <v>3559</v>
      </c>
      <c r="M1079" s="12">
        <v>272</v>
      </c>
      <c r="N1079" s="14">
        <v>0.19</v>
      </c>
      <c r="O1079" s="12">
        <v>120</v>
      </c>
      <c r="P1079" s="12">
        <v>170</v>
      </c>
      <c r="Q1079" s="12">
        <v>12</v>
      </c>
      <c r="R1079" s="13" t="s">
        <v>75</v>
      </c>
      <c r="S1079" s="13" t="s">
        <v>596</v>
      </c>
      <c r="T1079" s="15">
        <v>4000</v>
      </c>
      <c r="U1079" s="13" t="s">
        <v>44</v>
      </c>
      <c r="V1079" s="13" t="s">
        <v>59</v>
      </c>
      <c r="W1079" s="12">
        <v>10</v>
      </c>
      <c r="X1079" s="33" t="str">
        <f>HYPERLINK("https://www.alpinabook.ru/catalog/book-konstruirovanie-yazykov","ссылка на книгу")</f>
        <v>ссылка на книгу</v>
      </c>
      <c r="Y1079" s="34" t="str">
        <f>HYPERLINK("https://api-enni.alpina.ru/FilePrivilegesApproval/568","https://api-enni.alpina.ru/FilePrivilegesApproval/568")</f>
        <v>https://api-enni.alpina.ru/FilePrivilegesApproval/568</v>
      </c>
      <c r="Z1079" s="13"/>
      <c r="AT1079" s="1">
        <f t="shared" si="173"/>
        <v>0</v>
      </c>
      <c r="AU1079" s="1">
        <f t="shared" si="174"/>
        <v>0</v>
      </c>
      <c r="AV1079" s="1">
        <f t="shared" si="175"/>
        <v>0</v>
      </c>
      <c r="AW1079" s="1">
        <f t="shared" si="176"/>
        <v>0</v>
      </c>
      <c r="AX1079" s="1">
        <f t="shared" si="177"/>
        <v>0</v>
      </c>
    </row>
    <row r="1080" spans="1:50" s="1" customFormat="1" ht="24.95" customHeight="1" outlineLevel="3" x14ac:dyDescent="0.2">
      <c r="A1080" s="11"/>
      <c r="B1080" s="12">
        <v>540</v>
      </c>
      <c r="C1080" s="12">
        <v>790</v>
      </c>
      <c r="D1080" s="12">
        <v>25877</v>
      </c>
      <c r="E1080" s="13" t="s">
        <v>3560</v>
      </c>
      <c r="F1080" s="13" t="s">
        <v>3561</v>
      </c>
      <c r="G1080" s="13" t="s">
        <v>86</v>
      </c>
      <c r="H1080" s="13"/>
      <c r="I1080" s="12">
        <v>2024</v>
      </c>
      <c r="J1080" s="13" t="s">
        <v>3562</v>
      </c>
      <c r="K1080" s="12">
        <v>9785001397212</v>
      </c>
      <c r="L1080" s="13" t="s">
        <v>3563</v>
      </c>
      <c r="M1080" s="12">
        <v>252</v>
      </c>
      <c r="N1080" s="14">
        <v>0.34</v>
      </c>
      <c r="O1080" s="12">
        <v>130</v>
      </c>
      <c r="P1080" s="12">
        <v>210</v>
      </c>
      <c r="Q1080" s="12">
        <v>16</v>
      </c>
      <c r="R1080" s="13" t="s">
        <v>82</v>
      </c>
      <c r="S1080" s="13"/>
      <c r="T1080" s="15">
        <v>1500</v>
      </c>
      <c r="U1080" s="13" t="s">
        <v>52</v>
      </c>
      <c r="V1080" s="13" t="s">
        <v>59</v>
      </c>
      <c r="W1080" s="12">
        <v>10</v>
      </c>
      <c r="X1080" s="33" t="str">
        <f>HYPERLINK("https://www.alpinabook.ru/catalog/book-poymat-vavilonskuyu-rybku","ссылка на книгу")</f>
        <v>ссылка на книгу</v>
      </c>
      <c r="Y1080" s="34" t="str">
        <f>HYPERLINK("https://api-enni.alpina.ru/FilePrivilegesApproval/346","https://api-enni.alpina.ru/FilePrivilegesApproval/346")</f>
        <v>https://api-enni.alpina.ru/FilePrivilegesApproval/346</v>
      </c>
      <c r="Z1080" s="13"/>
      <c r="AT1080" s="1">
        <f t="shared" si="173"/>
        <v>0</v>
      </c>
      <c r="AU1080" s="1">
        <f t="shared" si="174"/>
        <v>0</v>
      </c>
      <c r="AV1080" s="1">
        <f t="shared" si="175"/>
        <v>0</v>
      </c>
      <c r="AW1080" s="1">
        <f t="shared" si="176"/>
        <v>0</v>
      </c>
      <c r="AX1080" s="1">
        <f t="shared" si="177"/>
        <v>0</v>
      </c>
    </row>
    <row r="1081" spans="1:50" s="1" customFormat="1" ht="24.95" customHeight="1" outlineLevel="3" x14ac:dyDescent="0.2">
      <c r="A1081" s="11"/>
      <c r="B1081" s="12">
        <v>790</v>
      </c>
      <c r="C1081" s="15">
        <v>1190</v>
      </c>
      <c r="D1081" s="12">
        <v>31732</v>
      </c>
      <c r="E1081" s="13" t="s">
        <v>3564</v>
      </c>
      <c r="F1081" s="13" t="s">
        <v>3565</v>
      </c>
      <c r="G1081" s="13" t="s">
        <v>86</v>
      </c>
      <c r="H1081" s="13"/>
      <c r="I1081" s="12">
        <v>2025</v>
      </c>
      <c r="J1081" s="13" t="s">
        <v>3566</v>
      </c>
      <c r="K1081" s="12">
        <v>9785002234158</v>
      </c>
      <c r="L1081" s="13" t="s">
        <v>3567</v>
      </c>
      <c r="M1081" s="12">
        <v>572</v>
      </c>
      <c r="N1081" s="14">
        <v>0.49</v>
      </c>
      <c r="O1081" s="12">
        <v>140</v>
      </c>
      <c r="P1081" s="12">
        <v>210</v>
      </c>
      <c r="Q1081" s="12">
        <v>4</v>
      </c>
      <c r="R1081" s="13" t="s">
        <v>43</v>
      </c>
      <c r="S1081" s="13"/>
      <c r="T1081" s="15">
        <v>1000</v>
      </c>
      <c r="U1081" s="13" t="s">
        <v>44</v>
      </c>
      <c r="V1081" s="13" t="s">
        <v>59</v>
      </c>
      <c r="W1081" s="12">
        <v>10</v>
      </c>
      <c r="X1081" s="33" t="str">
        <f>HYPERLINK("https://www.alpinabook.ru/catalog/book-proiskhozhdenie-yazyka","ссылка на книгу")</f>
        <v>ссылка на книгу</v>
      </c>
      <c r="Y1081" s="34" t="str">
        <f>HYPERLINK("https://api-enni.alpina.ru/FilePrivilegesApproval/539","https://api-enni.alpina.ru/FilePrivilegesApproval/539")</f>
        <v>https://api-enni.alpina.ru/FilePrivilegesApproval/539</v>
      </c>
      <c r="Z1081" s="13" t="s">
        <v>1222</v>
      </c>
      <c r="AT1081" s="1">
        <f t="shared" si="173"/>
        <v>0</v>
      </c>
      <c r="AU1081" s="1">
        <f t="shared" si="174"/>
        <v>0</v>
      </c>
      <c r="AV1081" s="1">
        <f t="shared" si="175"/>
        <v>0</v>
      </c>
      <c r="AW1081" s="1">
        <f t="shared" si="176"/>
        <v>0</v>
      </c>
      <c r="AX1081" s="1">
        <f t="shared" si="177"/>
        <v>0</v>
      </c>
    </row>
    <row r="1082" spans="1:50" s="1" customFormat="1" ht="24.95" customHeight="1" outlineLevel="3" x14ac:dyDescent="0.2">
      <c r="A1082" s="11"/>
      <c r="B1082" s="12">
        <v>640</v>
      </c>
      <c r="C1082" s="12">
        <v>940</v>
      </c>
      <c r="D1082" s="12">
        <v>12615</v>
      </c>
      <c r="E1082" s="13" t="s">
        <v>3568</v>
      </c>
      <c r="F1082" s="13" t="s">
        <v>3569</v>
      </c>
      <c r="G1082" s="13" t="s">
        <v>86</v>
      </c>
      <c r="H1082" s="13"/>
      <c r="I1082" s="12">
        <v>2025</v>
      </c>
      <c r="J1082" s="13" t="s">
        <v>3570</v>
      </c>
      <c r="K1082" s="12">
        <v>9785001391302</v>
      </c>
      <c r="L1082" s="13" t="s">
        <v>3571</v>
      </c>
      <c r="M1082" s="12">
        <v>432</v>
      </c>
      <c r="N1082" s="14">
        <v>0.6</v>
      </c>
      <c r="O1082" s="12">
        <v>150</v>
      </c>
      <c r="P1082" s="12">
        <v>220</v>
      </c>
      <c r="Q1082" s="12">
        <v>5</v>
      </c>
      <c r="R1082" s="13" t="s">
        <v>43</v>
      </c>
      <c r="S1082" s="13" t="s">
        <v>2626</v>
      </c>
      <c r="T1082" s="15">
        <v>1000</v>
      </c>
      <c r="U1082" s="13" t="s">
        <v>52</v>
      </c>
      <c r="V1082" s="13" t="s">
        <v>89</v>
      </c>
      <c r="W1082" s="12">
        <v>10</v>
      </c>
      <c r="X1082" s="33" t="str">
        <f>HYPERLINK("https://www.alpinabook.ru/catalog/book-tri-sklyanki-popoludni","ссылка на книгу")</f>
        <v>ссылка на книгу</v>
      </c>
      <c r="Y1082" s="34" t="str">
        <f>HYPERLINK("https://api-enni.alpina.ru/FilePrivilegesApproval/147","https://api-enni.alpina.ru/FilePrivilegesApproval/147")</f>
        <v>https://api-enni.alpina.ru/FilePrivilegesApproval/147</v>
      </c>
      <c r="Z1082" s="13"/>
      <c r="AT1082" s="1">
        <f t="shared" si="173"/>
        <v>0</v>
      </c>
      <c r="AU1082" s="1">
        <f t="shared" si="174"/>
        <v>0</v>
      </c>
      <c r="AV1082" s="1">
        <f t="shared" si="175"/>
        <v>0</v>
      </c>
      <c r="AW1082" s="1">
        <f t="shared" si="176"/>
        <v>0</v>
      </c>
      <c r="AX1082" s="1">
        <f t="shared" si="177"/>
        <v>0</v>
      </c>
    </row>
    <row r="1083" spans="1:50" s="1" customFormat="1" ht="24.95" customHeight="1" outlineLevel="3" x14ac:dyDescent="0.2">
      <c r="A1083" s="11"/>
      <c r="B1083" s="15">
        <v>1190</v>
      </c>
      <c r="C1083" s="15">
        <v>1690</v>
      </c>
      <c r="D1083" s="12">
        <v>18031</v>
      </c>
      <c r="E1083" s="13" t="s">
        <v>2385</v>
      </c>
      <c r="F1083" s="13" t="s">
        <v>3572</v>
      </c>
      <c r="G1083" s="13" t="s">
        <v>86</v>
      </c>
      <c r="H1083" s="13" t="s">
        <v>40</v>
      </c>
      <c r="I1083" s="12">
        <v>2023</v>
      </c>
      <c r="J1083" s="13" t="s">
        <v>3573</v>
      </c>
      <c r="K1083" s="12">
        <v>9785001392507</v>
      </c>
      <c r="L1083" s="13" t="s">
        <v>3574</v>
      </c>
      <c r="M1083" s="12">
        <v>562</v>
      </c>
      <c r="N1083" s="14">
        <v>0.85</v>
      </c>
      <c r="O1083" s="12">
        <v>170</v>
      </c>
      <c r="P1083" s="12">
        <v>240</v>
      </c>
      <c r="Q1083" s="12">
        <v>5</v>
      </c>
      <c r="R1083" s="13" t="s">
        <v>94</v>
      </c>
      <c r="S1083" s="13"/>
      <c r="T1083" s="15">
        <v>3000</v>
      </c>
      <c r="U1083" s="13" t="s">
        <v>52</v>
      </c>
      <c r="V1083" s="13" t="s">
        <v>45</v>
      </c>
      <c r="W1083" s="12">
        <v>10</v>
      </c>
      <c r="X1083" s="33" t="str">
        <f>HYPERLINK("https://www.alpinabook.ru/catalog/book-yazyk-kak-instinkt","ссылка на книгу")</f>
        <v>ссылка на книгу</v>
      </c>
      <c r="Y1083" s="34" t="str">
        <f>HYPERLINK("https://api-enni.alpina.ru/FilePrivilegesApproval/323","https://api-enni.alpina.ru/FilePrivilegesApproval/323")</f>
        <v>https://api-enni.alpina.ru/FilePrivilegesApproval/323</v>
      </c>
      <c r="Z1083" s="13"/>
      <c r="AT1083" s="1">
        <f t="shared" si="173"/>
        <v>0</v>
      </c>
      <c r="AU1083" s="1">
        <f t="shared" si="174"/>
        <v>0</v>
      </c>
      <c r="AV1083" s="1">
        <f t="shared" si="175"/>
        <v>0</v>
      </c>
      <c r="AW1083" s="1">
        <f t="shared" si="176"/>
        <v>0</v>
      </c>
      <c r="AX1083" s="1">
        <f t="shared" si="177"/>
        <v>0</v>
      </c>
    </row>
    <row r="1084" spans="1:50" s="1" customFormat="1" ht="24.95" customHeight="1" outlineLevel="3" x14ac:dyDescent="0.2">
      <c r="A1084" s="11"/>
      <c r="B1084" s="12">
        <v>340</v>
      </c>
      <c r="C1084" s="12">
        <v>540</v>
      </c>
      <c r="D1084" s="12">
        <v>27834</v>
      </c>
      <c r="E1084" s="13" t="s">
        <v>3575</v>
      </c>
      <c r="F1084" s="13" t="s">
        <v>3576</v>
      </c>
      <c r="G1084" s="13" t="s">
        <v>86</v>
      </c>
      <c r="H1084" s="13"/>
      <c r="I1084" s="12">
        <v>2024</v>
      </c>
      <c r="J1084" s="13" t="s">
        <v>3577</v>
      </c>
      <c r="K1084" s="12">
        <v>9785002233786</v>
      </c>
      <c r="L1084" s="13" t="s">
        <v>3578</v>
      </c>
      <c r="M1084" s="12">
        <v>256</v>
      </c>
      <c r="N1084" s="14">
        <v>0.17</v>
      </c>
      <c r="O1084" s="12">
        <v>120</v>
      </c>
      <c r="P1084" s="12">
        <v>170</v>
      </c>
      <c r="Q1084" s="12">
        <v>18</v>
      </c>
      <c r="R1084" s="13" t="s">
        <v>75</v>
      </c>
      <c r="S1084" s="13" t="s">
        <v>596</v>
      </c>
      <c r="T1084" s="15">
        <v>2000</v>
      </c>
      <c r="U1084" s="13" t="s">
        <v>44</v>
      </c>
      <c r="V1084" s="13" t="s">
        <v>59</v>
      </c>
      <c r="W1084" s="12">
        <v>10</v>
      </c>
      <c r="X1084" s="33" t="str">
        <f>HYPERLINK("https://www.alpinabook.ru/catalog/book-yazykoznanie","ссылка на книгу")</f>
        <v>ссылка на книгу</v>
      </c>
      <c r="Y1084" s="34" t="str">
        <f>HYPERLINK("https://api-enni.alpina.ru/FilePrivilegesApproval/146","https://api-enni.alpina.ru/FilePrivilegesApproval/146")</f>
        <v>https://api-enni.alpina.ru/FilePrivilegesApproval/146</v>
      </c>
      <c r="Z1084" s="13"/>
      <c r="AT1084" s="1">
        <f t="shared" si="173"/>
        <v>0</v>
      </c>
      <c r="AU1084" s="1">
        <f t="shared" si="174"/>
        <v>0</v>
      </c>
      <c r="AV1084" s="1">
        <f t="shared" si="175"/>
        <v>0</v>
      </c>
      <c r="AW1084" s="1">
        <f t="shared" si="176"/>
        <v>0</v>
      </c>
      <c r="AX1084" s="1">
        <f t="shared" si="177"/>
        <v>0</v>
      </c>
    </row>
    <row r="1085" spans="1:50" ht="11.1" customHeight="1" outlineLevel="2" x14ac:dyDescent="0.2">
      <c r="A1085" s="40" t="s">
        <v>3579</v>
      </c>
      <c r="B1085" s="40"/>
      <c r="C1085" s="40"/>
      <c r="D1085" s="40"/>
      <c r="E1085" s="40"/>
      <c r="F1085" s="40"/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20"/>
    </row>
    <row r="1086" spans="1:50" s="1" customFormat="1" ht="24.95" customHeight="1" outlineLevel="3" x14ac:dyDescent="0.2">
      <c r="A1086" s="26"/>
      <c r="B1086" s="27">
        <v>740</v>
      </c>
      <c r="C1086" s="27">
        <v>740</v>
      </c>
      <c r="D1086" s="27">
        <v>26023</v>
      </c>
      <c r="E1086" s="29" t="s">
        <v>2899</v>
      </c>
      <c r="F1086" s="29" t="s">
        <v>3580</v>
      </c>
      <c r="G1086" s="29" t="s">
        <v>97</v>
      </c>
      <c r="H1086" s="29"/>
      <c r="I1086" s="27">
        <v>2022</v>
      </c>
      <c r="J1086" s="29" t="s">
        <v>3581</v>
      </c>
      <c r="K1086" s="27">
        <v>9785206000504</v>
      </c>
      <c r="L1086" s="29" t="s">
        <v>3582</v>
      </c>
      <c r="M1086" s="27">
        <v>320</v>
      </c>
      <c r="N1086" s="30">
        <v>0.67</v>
      </c>
      <c r="O1086" s="27">
        <v>146</v>
      </c>
      <c r="P1086" s="27">
        <v>216</v>
      </c>
      <c r="Q1086" s="27">
        <v>6</v>
      </c>
      <c r="R1086" s="29" t="s">
        <v>43</v>
      </c>
      <c r="S1086" s="29"/>
      <c r="T1086" s="28">
        <v>1000</v>
      </c>
      <c r="U1086" s="29" t="s">
        <v>52</v>
      </c>
      <c r="V1086" s="29" t="s">
        <v>59</v>
      </c>
      <c r="W1086" s="27">
        <v>10</v>
      </c>
      <c r="X1086" s="37" t="str">
        <f>HYPERLINK("https://www.alpinabook.ru/catalog/book-30-luchshikh-kommunikatsionnykh-proektov-tek","ссылка на книгу")</f>
        <v>ссылка на книгу</v>
      </c>
      <c r="Y1086" s="38" t="str">
        <f>HYPERLINK("https://api-enni.alpina.ru/FilePrivilegesApproval/167","https://api-enni.alpina.ru/FilePrivilegesApproval/167")</f>
        <v>https://api-enni.alpina.ru/FilePrivilegesApproval/167</v>
      </c>
      <c r="Z1086" s="29"/>
      <c r="AT1086" s="1">
        <f t="shared" ref="AT1086:AT1120" si="178">IF($A1086&lt;&gt;0,1,0)</f>
        <v>0</v>
      </c>
      <c r="AU1086" s="1">
        <f t="shared" ref="AU1086:AU1120" si="179">$A1086*$B1086</f>
        <v>0</v>
      </c>
      <c r="AV1086" s="1">
        <f t="shared" ref="AV1086:AV1120" si="180">$A1086*$N1086</f>
        <v>0</v>
      </c>
      <c r="AW1086" s="1">
        <f t="shared" ref="AW1086:AW1120" si="181">IF($Q1086=0,0,INT($A1086/$Q1086))</f>
        <v>0</v>
      </c>
      <c r="AX1086" s="1">
        <f t="shared" ref="AX1086:AX1120" si="182">$A1086-$AW1086*$Q1086</f>
        <v>0</v>
      </c>
    </row>
    <row r="1087" spans="1:50" s="1" customFormat="1" ht="24.95" customHeight="1" outlineLevel="3" x14ac:dyDescent="0.2">
      <c r="A1087" s="11"/>
      <c r="B1087" s="12">
        <v>690</v>
      </c>
      <c r="C1087" s="12">
        <v>690</v>
      </c>
      <c r="D1087" s="12">
        <v>23293</v>
      </c>
      <c r="E1087" s="13" t="s">
        <v>3583</v>
      </c>
      <c r="F1087" s="13" t="s">
        <v>3584</v>
      </c>
      <c r="G1087" s="13" t="s">
        <v>56</v>
      </c>
      <c r="H1087" s="13"/>
      <c r="I1087" s="12">
        <v>2021</v>
      </c>
      <c r="J1087" s="13" t="s">
        <v>3585</v>
      </c>
      <c r="K1087" s="12">
        <v>9785961474121</v>
      </c>
      <c r="L1087" s="13" t="s">
        <v>3586</v>
      </c>
      <c r="M1087" s="12">
        <v>216</v>
      </c>
      <c r="N1087" s="14">
        <v>0.33</v>
      </c>
      <c r="O1087" s="12">
        <v>163</v>
      </c>
      <c r="P1087" s="12">
        <v>215</v>
      </c>
      <c r="Q1087" s="12">
        <v>10</v>
      </c>
      <c r="R1087" s="13" t="s">
        <v>100</v>
      </c>
      <c r="S1087" s="13"/>
      <c r="T1087" s="15">
        <v>2000</v>
      </c>
      <c r="U1087" s="13" t="s">
        <v>44</v>
      </c>
      <c r="V1087" s="13" t="s">
        <v>45</v>
      </c>
      <c r="W1087" s="12">
        <v>10</v>
      </c>
      <c r="X1087" s="33" t="str">
        <f>HYPERLINK("https://www.alpinabook.ru/catalog/book-zero-waste-na-praktike","ссылка на книгу")</f>
        <v>ссылка на книгу</v>
      </c>
      <c r="Y1087" s="34" t="str">
        <f>HYPERLINK("https://api-enni.alpina.ru/FilePrivilegesApproval/122","https://api-enni.alpina.ru/FilePrivilegesApproval/122")</f>
        <v>https://api-enni.alpina.ru/FilePrivilegesApproval/122</v>
      </c>
      <c r="Z1087" s="13"/>
      <c r="AT1087" s="1">
        <f t="shared" si="178"/>
        <v>0</v>
      </c>
      <c r="AU1087" s="1">
        <f t="shared" si="179"/>
        <v>0</v>
      </c>
      <c r="AV1087" s="1">
        <f t="shared" si="180"/>
        <v>0</v>
      </c>
      <c r="AW1087" s="1">
        <f t="shared" si="181"/>
        <v>0</v>
      </c>
      <c r="AX1087" s="1">
        <f t="shared" si="182"/>
        <v>0</v>
      </c>
    </row>
    <row r="1088" spans="1:50" s="1" customFormat="1" ht="24.95" customHeight="1" outlineLevel="3" x14ac:dyDescent="0.2">
      <c r="A1088" s="11"/>
      <c r="B1088" s="12">
        <v>440</v>
      </c>
      <c r="C1088" s="12">
        <v>440</v>
      </c>
      <c r="D1088" s="12">
        <v>16015</v>
      </c>
      <c r="E1088" s="13" t="s">
        <v>3587</v>
      </c>
      <c r="F1088" s="13" t="s">
        <v>3588</v>
      </c>
      <c r="G1088" s="13" t="s">
        <v>97</v>
      </c>
      <c r="H1088" s="13"/>
      <c r="I1088" s="12">
        <v>2024</v>
      </c>
      <c r="J1088" s="13" t="s">
        <v>3589</v>
      </c>
      <c r="K1088" s="12">
        <v>9785604288269</v>
      </c>
      <c r="L1088" s="13" t="s">
        <v>3590</v>
      </c>
      <c r="M1088" s="12">
        <v>276</v>
      </c>
      <c r="N1088" s="14">
        <v>0.43</v>
      </c>
      <c r="O1088" s="12">
        <v>150</v>
      </c>
      <c r="P1088" s="12">
        <v>220</v>
      </c>
      <c r="Q1088" s="12">
        <v>7</v>
      </c>
      <c r="R1088" s="13" t="s">
        <v>43</v>
      </c>
      <c r="S1088" s="13"/>
      <c r="T1088" s="15">
        <v>1000</v>
      </c>
      <c r="U1088" s="13" t="s">
        <v>52</v>
      </c>
      <c r="V1088" s="13" t="s">
        <v>45</v>
      </c>
      <c r="W1088" s="12">
        <v>10</v>
      </c>
      <c r="X1088" s="33" t="str">
        <f>HYPERLINK("https://www.alpinabook.ru/catalog/book-antimanipulyator","ссылка на книгу")</f>
        <v>ссылка на книгу</v>
      </c>
      <c r="Y1088" s="34" t="str">
        <f>HYPERLINK("https://api-enni.alpina.ru/FilePrivilegesApproval/36","https://api-enni.alpina.ru/FilePrivilegesApproval/36")</f>
        <v>https://api-enni.alpina.ru/FilePrivilegesApproval/36</v>
      </c>
      <c r="Z1088" s="13"/>
      <c r="AT1088" s="1">
        <f t="shared" si="178"/>
        <v>0</v>
      </c>
      <c r="AU1088" s="1">
        <f t="shared" si="179"/>
        <v>0</v>
      </c>
      <c r="AV1088" s="1">
        <f t="shared" si="180"/>
        <v>0</v>
      </c>
      <c r="AW1088" s="1">
        <f t="shared" si="181"/>
        <v>0</v>
      </c>
      <c r="AX1088" s="1">
        <f t="shared" si="182"/>
        <v>0</v>
      </c>
    </row>
    <row r="1089" spans="1:50" s="1" customFormat="1" ht="24.95" customHeight="1" outlineLevel="3" x14ac:dyDescent="0.2">
      <c r="A1089" s="11"/>
      <c r="B1089" s="12">
        <v>990</v>
      </c>
      <c r="C1089" s="15">
        <v>1490</v>
      </c>
      <c r="D1089" s="12">
        <v>20569</v>
      </c>
      <c r="E1089" s="13" t="s">
        <v>3591</v>
      </c>
      <c r="F1089" s="13" t="s">
        <v>3592</v>
      </c>
      <c r="G1089" s="13" t="s">
        <v>56</v>
      </c>
      <c r="H1089" s="13"/>
      <c r="I1089" s="12">
        <v>2024</v>
      </c>
      <c r="J1089" s="13" t="s">
        <v>3593</v>
      </c>
      <c r="K1089" s="12">
        <v>9785961440430</v>
      </c>
      <c r="L1089" s="13" t="s">
        <v>3594</v>
      </c>
      <c r="M1089" s="12">
        <v>333</v>
      </c>
      <c r="N1089" s="14">
        <v>1.1299999999999999</v>
      </c>
      <c r="O1089" s="12">
        <v>210</v>
      </c>
      <c r="P1089" s="12">
        <v>270</v>
      </c>
      <c r="Q1089" s="12">
        <v>5</v>
      </c>
      <c r="R1089" s="13" t="s">
        <v>300</v>
      </c>
      <c r="S1089" s="13"/>
      <c r="T1089" s="15">
        <v>2000</v>
      </c>
      <c r="U1089" s="13" t="s">
        <v>52</v>
      </c>
      <c r="V1089" s="13" t="s">
        <v>59</v>
      </c>
      <c r="W1089" s="12">
        <v>10</v>
      </c>
      <c r="X1089" s="33" t="str">
        <f>HYPERLINK("https://www.alpinabook.ru/catalog/book-bolshe-chem-korobka","ссылка на книгу")</f>
        <v>ссылка на книгу</v>
      </c>
      <c r="Y1089" s="34" t="str">
        <f>HYPERLINK("https://api-enni.alpina.ru/FilePrivilegesApproval/152","https://api-enni.alpina.ru/FilePrivilegesApproval/152")</f>
        <v>https://api-enni.alpina.ru/FilePrivilegesApproval/152</v>
      </c>
      <c r="Z1089" s="13"/>
      <c r="AT1089" s="1">
        <f t="shared" si="178"/>
        <v>0</v>
      </c>
      <c r="AU1089" s="1">
        <f t="shared" si="179"/>
        <v>0</v>
      </c>
      <c r="AV1089" s="1">
        <f t="shared" si="180"/>
        <v>0</v>
      </c>
      <c r="AW1089" s="1">
        <f t="shared" si="181"/>
        <v>0</v>
      </c>
      <c r="AX1089" s="1">
        <f t="shared" si="182"/>
        <v>0</v>
      </c>
    </row>
    <row r="1090" spans="1:50" s="1" customFormat="1" ht="24.95" customHeight="1" outlineLevel="3" x14ac:dyDescent="0.2">
      <c r="A1090" s="11"/>
      <c r="B1090" s="12">
        <v>590</v>
      </c>
      <c r="C1090" s="12">
        <v>840</v>
      </c>
      <c r="D1090" s="12">
        <v>29079</v>
      </c>
      <c r="E1090" s="13" t="s">
        <v>3595</v>
      </c>
      <c r="F1090" s="13" t="s">
        <v>3596</v>
      </c>
      <c r="G1090" s="13" t="s">
        <v>56</v>
      </c>
      <c r="H1090" s="13"/>
      <c r="I1090" s="12">
        <v>2024</v>
      </c>
      <c r="J1090" s="13" t="s">
        <v>3597</v>
      </c>
      <c r="K1090" s="12">
        <v>9785961491364</v>
      </c>
      <c r="L1090" s="13" t="s">
        <v>3598</v>
      </c>
      <c r="M1090" s="12">
        <v>451</v>
      </c>
      <c r="N1090" s="14">
        <v>0.51</v>
      </c>
      <c r="O1090" s="12">
        <v>150</v>
      </c>
      <c r="P1090" s="12">
        <v>220</v>
      </c>
      <c r="Q1090" s="12">
        <v>12</v>
      </c>
      <c r="R1090" s="13" t="s">
        <v>43</v>
      </c>
      <c r="S1090" s="13"/>
      <c r="T1090" s="15">
        <v>2000</v>
      </c>
      <c r="U1090" s="13" t="s">
        <v>52</v>
      </c>
      <c r="V1090" s="13" t="s">
        <v>45</v>
      </c>
      <c r="W1090" s="12">
        <v>10</v>
      </c>
      <c r="X1090" s="33" t="str">
        <f>HYPERLINK("https://www.alpinabook.ru/catalog/book-vzaimnaya-pomoshch","ссылка на книгу")</f>
        <v>ссылка на книгу</v>
      </c>
      <c r="Y1090" s="34" t="str">
        <f>HYPERLINK("https://api-enni.alpina.ru/FilePrivilegesApproval/388","https://api-enni.alpina.ru/FilePrivilegesApproval/388")</f>
        <v>https://api-enni.alpina.ru/FilePrivilegesApproval/388</v>
      </c>
      <c r="Z1090" s="13"/>
      <c r="AT1090" s="1">
        <f t="shared" si="178"/>
        <v>0</v>
      </c>
      <c r="AU1090" s="1">
        <f t="shared" si="179"/>
        <v>0</v>
      </c>
      <c r="AV1090" s="1">
        <f t="shared" si="180"/>
        <v>0</v>
      </c>
      <c r="AW1090" s="1">
        <f t="shared" si="181"/>
        <v>0</v>
      </c>
      <c r="AX1090" s="1">
        <f t="shared" si="182"/>
        <v>0</v>
      </c>
    </row>
    <row r="1091" spans="1:50" s="1" customFormat="1" ht="21.95" customHeight="1" outlineLevel="3" x14ac:dyDescent="0.2">
      <c r="A1091" s="11"/>
      <c r="B1091" s="12">
        <v>690</v>
      </c>
      <c r="C1091" s="12">
        <v>990</v>
      </c>
      <c r="D1091" s="12">
        <v>25411</v>
      </c>
      <c r="E1091" s="13" t="s">
        <v>3599</v>
      </c>
      <c r="F1091" s="13" t="s">
        <v>3600</v>
      </c>
      <c r="G1091" s="13" t="s">
        <v>86</v>
      </c>
      <c r="H1091" s="13" t="s">
        <v>40</v>
      </c>
      <c r="I1091" s="12">
        <v>2025</v>
      </c>
      <c r="J1091" s="13" t="s">
        <v>3601</v>
      </c>
      <c r="K1091" s="12">
        <v>9785001396666</v>
      </c>
      <c r="L1091" s="13" t="s">
        <v>3602</v>
      </c>
      <c r="M1091" s="12">
        <v>374</v>
      </c>
      <c r="N1091" s="14">
        <v>0.28000000000000003</v>
      </c>
      <c r="O1091" s="12">
        <v>130</v>
      </c>
      <c r="P1091" s="12">
        <v>200</v>
      </c>
      <c r="Q1091" s="12">
        <v>10</v>
      </c>
      <c r="R1091" s="13" t="s">
        <v>82</v>
      </c>
      <c r="S1091" s="13"/>
      <c r="T1091" s="15">
        <v>2000</v>
      </c>
      <c r="U1091" s="13" t="s">
        <v>44</v>
      </c>
      <c r="V1091" s="13" t="s">
        <v>89</v>
      </c>
      <c r="W1091" s="12">
        <v>20</v>
      </c>
      <c r="X1091" s="33" t="str">
        <f>HYPERLINK("https://www.alpinabook.ru/catalog/book-vzglyad-nazad","ссылка на книгу")</f>
        <v>ссылка на книгу</v>
      </c>
      <c r="Y1091" s="34" t="str">
        <f>HYPERLINK("","")</f>
        <v/>
      </c>
      <c r="Z1091" s="13"/>
      <c r="AT1091" s="1">
        <f t="shared" si="178"/>
        <v>0</v>
      </c>
      <c r="AU1091" s="1">
        <f t="shared" si="179"/>
        <v>0</v>
      </c>
      <c r="AV1091" s="1">
        <f t="shared" si="180"/>
        <v>0</v>
      </c>
      <c r="AW1091" s="1">
        <f t="shared" si="181"/>
        <v>0</v>
      </c>
      <c r="AX1091" s="1">
        <f t="shared" si="182"/>
        <v>0</v>
      </c>
    </row>
    <row r="1092" spans="1:50" s="1" customFormat="1" ht="24.95" customHeight="1" outlineLevel="3" x14ac:dyDescent="0.2">
      <c r="A1092" s="11"/>
      <c r="B1092" s="12">
        <v>690</v>
      </c>
      <c r="C1092" s="12">
        <v>990</v>
      </c>
      <c r="D1092" s="12">
        <v>26806</v>
      </c>
      <c r="E1092" s="13" t="s">
        <v>3046</v>
      </c>
      <c r="F1092" s="13" t="s">
        <v>3603</v>
      </c>
      <c r="G1092" s="13" t="s">
        <v>56</v>
      </c>
      <c r="H1092" s="13" t="s">
        <v>40</v>
      </c>
      <c r="I1092" s="12">
        <v>2025</v>
      </c>
      <c r="J1092" s="13" t="s">
        <v>3604</v>
      </c>
      <c r="K1092" s="12">
        <v>9785961483109</v>
      </c>
      <c r="L1092" s="13" t="s">
        <v>3605</v>
      </c>
      <c r="M1092" s="12">
        <v>372</v>
      </c>
      <c r="N1092" s="14">
        <v>0.7</v>
      </c>
      <c r="O1092" s="12">
        <v>150</v>
      </c>
      <c r="P1092" s="12">
        <v>220</v>
      </c>
      <c r="Q1092" s="12">
        <v>5</v>
      </c>
      <c r="R1092" s="13" t="s">
        <v>43</v>
      </c>
      <c r="S1092" s="13"/>
      <c r="T1092" s="15">
        <v>1000</v>
      </c>
      <c r="U1092" s="13" t="s">
        <v>52</v>
      </c>
      <c r="V1092" s="13" t="s">
        <v>45</v>
      </c>
      <c r="W1092" s="12">
        <v>10</v>
      </c>
      <c r="X1092" s="33" t="str">
        <f>HYPERLINK("https://www.alpinabook.ru/catalog/book-vzlomat-vsye","ссылка на книгу")</f>
        <v>ссылка на книгу</v>
      </c>
      <c r="Y1092" s="34" t="str">
        <f>HYPERLINK("https://api-enni.alpina.ru/FilePrivilegesApproval/283","https://api-enni.alpina.ru/FilePrivilegesApproval/283")</f>
        <v>https://api-enni.alpina.ru/FilePrivilegesApproval/283</v>
      </c>
      <c r="Z1092" s="13"/>
      <c r="AT1092" s="1">
        <f t="shared" si="178"/>
        <v>0</v>
      </c>
      <c r="AU1092" s="1">
        <f t="shared" si="179"/>
        <v>0</v>
      </c>
      <c r="AV1092" s="1">
        <f t="shared" si="180"/>
        <v>0</v>
      </c>
      <c r="AW1092" s="1">
        <f t="shared" si="181"/>
        <v>0</v>
      </c>
      <c r="AX1092" s="1">
        <f t="shared" si="182"/>
        <v>0</v>
      </c>
    </row>
    <row r="1093" spans="1:50" s="1" customFormat="1" ht="24.95" customHeight="1" outlineLevel="3" x14ac:dyDescent="0.2">
      <c r="A1093" s="11"/>
      <c r="B1093" s="12">
        <v>440</v>
      </c>
      <c r="C1093" s="12">
        <v>440</v>
      </c>
      <c r="D1093" s="12">
        <v>8949</v>
      </c>
      <c r="E1093" s="13" t="s">
        <v>3606</v>
      </c>
      <c r="F1093" s="13" t="s">
        <v>3607</v>
      </c>
      <c r="G1093" s="13" t="s">
        <v>97</v>
      </c>
      <c r="H1093" s="13" t="s">
        <v>40</v>
      </c>
      <c r="I1093" s="12">
        <v>2020</v>
      </c>
      <c r="J1093" s="13" t="s">
        <v>3608</v>
      </c>
      <c r="K1093" s="12">
        <v>9785604287873</v>
      </c>
      <c r="L1093" s="13" t="s">
        <v>3609</v>
      </c>
      <c r="M1093" s="12">
        <v>460</v>
      </c>
      <c r="N1093" s="14">
        <v>0.63</v>
      </c>
      <c r="O1093" s="12">
        <v>146</v>
      </c>
      <c r="P1093" s="12">
        <v>216</v>
      </c>
      <c r="Q1093" s="12">
        <v>6</v>
      </c>
      <c r="R1093" s="13" t="s">
        <v>43</v>
      </c>
      <c r="S1093" s="13"/>
      <c r="T1093" s="15">
        <v>2000</v>
      </c>
      <c r="U1093" s="13" t="s">
        <v>52</v>
      </c>
      <c r="V1093" s="13" t="s">
        <v>64</v>
      </c>
      <c r="W1093" s="12">
        <v>10</v>
      </c>
      <c r="X1093" s="33" t="str">
        <f>HYPERLINK("https://www.alpinabook.ru/catalog/book-599237","ссылка на книгу")</f>
        <v>ссылка на книгу</v>
      </c>
      <c r="Y1093" s="34" t="str">
        <f>HYPERLINK("https://api-enni.alpina.ru/FilePrivilegesApproval/36","https://api-enni.alpina.ru/FilePrivilegesApproval/36")</f>
        <v>https://api-enni.alpina.ru/FilePrivilegesApproval/36</v>
      </c>
      <c r="Z1093" s="13"/>
      <c r="AT1093" s="1">
        <f t="shared" si="178"/>
        <v>0</v>
      </c>
      <c r="AU1093" s="1">
        <f t="shared" si="179"/>
        <v>0</v>
      </c>
      <c r="AV1093" s="1">
        <f t="shared" si="180"/>
        <v>0</v>
      </c>
      <c r="AW1093" s="1">
        <f t="shared" si="181"/>
        <v>0</v>
      </c>
      <c r="AX1093" s="1">
        <f t="shared" si="182"/>
        <v>0</v>
      </c>
    </row>
    <row r="1094" spans="1:50" s="1" customFormat="1" ht="11.1" customHeight="1" outlineLevel="3" x14ac:dyDescent="0.2">
      <c r="A1094" s="11"/>
      <c r="B1094" s="12">
        <v>840</v>
      </c>
      <c r="C1094" s="15">
        <v>1290</v>
      </c>
      <c r="D1094" s="12">
        <v>31295</v>
      </c>
      <c r="E1094" s="13" t="s">
        <v>254</v>
      </c>
      <c r="F1094" s="13" t="s">
        <v>3610</v>
      </c>
      <c r="G1094" s="13" t="s">
        <v>97</v>
      </c>
      <c r="H1094" s="13" t="s">
        <v>40</v>
      </c>
      <c r="I1094" s="12">
        <v>2024</v>
      </c>
      <c r="J1094" s="13" t="s">
        <v>3611</v>
      </c>
      <c r="K1094" s="12">
        <v>9785206003628</v>
      </c>
      <c r="L1094" s="13" t="s">
        <v>3612</v>
      </c>
      <c r="M1094" s="12">
        <v>232</v>
      </c>
      <c r="N1094" s="14">
        <v>0.5</v>
      </c>
      <c r="O1094" s="12">
        <v>170</v>
      </c>
      <c r="P1094" s="12">
        <v>240</v>
      </c>
      <c r="Q1094" s="12">
        <v>9</v>
      </c>
      <c r="R1094" s="13" t="s">
        <v>94</v>
      </c>
      <c r="S1094" s="13"/>
      <c r="T1094" s="15">
        <v>1000</v>
      </c>
      <c r="U1094" s="13" t="s">
        <v>52</v>
      </c>
      <c r="V1094" s="13" t="s">
        <v>89</v>
      </c>
      <c r="W1094" s="12">
        <v>20</v>
      </c>
      <c r="X1094" s="33" t="str">
        <f>HYPERLINK("https://www.alpinabook.ru/catalog/book-vne-pokoleniy","ссылка на книгу")</f>
        <v>ссылка на книгу</v>
      </c>
      <c r="Y1094" s="34" t="str">
        <f>HYPERLINK("","")</f>
        <v/>
      </c>
      <c r="Z1094" s="13"/>
      <c r="AT1094" s="1">
        <f t="shared" si="178"/>
        <v>0</v>
      </c>
      <c r="AU1094" s="1">
        <f t="shared" si="179"/>
        <v>0</v>
      </c>
      <c r="AV1094" s="1">
        <f t="shared" si="180"/>
        <v>0</v>
      </c>
      <c r="AW1094" s="1">
        <f t="shared" si="181"/>
        <v>0</v>
      </c>
      <c r="AX1094" s="1">
        <f t="shared" si="182"/>
        <v>0</v>
      </c>
    </row>
    <row r="1095" spans="1:50" s="1" customFormat="1" ht="24.95" customHeight="1" outlineLevel="3" x14ac:dyDescent="0.2">
      <c r="A1095" s="11"/>
      <c r="B1095" s="12">
        <v>590</v>
      </c>
      <c r="C1095" s="12">
        <v>590</v>
      </c>
      <c r="D1095" s="12">
        <v>24702</v>
      </c>
      <c r="E1095" s="13" t="s">
        <v>3613</v>
      </c>
      <c r="F1095" s="13" t="s">
        <v>3614</v>
      </c>
      <c r="G1095" s="13" t="s">
        <v>56</v>
      </c>
      <c r="H1095" s="13"/>
      <c r="I1095" s="12">
        <v>2022</v>
      </c>
      <c r="J1095" s="13" t="s">
        <v>3615</v>
      </c>
      <c r="K1095" s="12">
        <v>9785961478082</v>
      </c>
      <c r="L1095" s="13" t="s">
        <v>3616</v>
      </c>
      <c r="M1095" s="12">
        <v>244</v>
      </c>
      <c r="N1095" s="14">
        <v>0.46</v>
      </c>
      <c r="O1095" s="12">
        <v>146</v>
      </c>
      <c r="P1095" s="12">
        <v>216</v>
      </c>
      <c r="Q1095" s="12">
        <v>14</v>
      </c>
      <c r="R1095" s="13" t="s">
        <v>43</v>
      </c>
      <c r="S1095" s="13"/>
      <c r="T1095" s="15">
        <v>2000</v>
      </c>
      <c r="U1095" s="13" t="s">
        <v>52</v>
      </c>
      <c r="V1095" s="13" t="s">
        <v>59</v>
      </c>
      <c r="W1095" s="12">
        <v>10</v>
      </c>
      <c r="X1095" s="33" t="str">
        <f>HYPERLINK("https://www.alpinabook.ru/catalog/book-vozdukh","ссылка на книгу")</f>
        <v>ссылка на книгу</v>
      </c>
      <c r="Y1095" s="34" t="str">
        <f>HYPERLINK("https://api-enni.alpina.ru/FilePrivilegesApproval/156","https://api-enni.alpina.ru/FilePrivilegesApproval/156")</f>
        <v>https://api-enni.alpina.ru/FilePrivilegesApproval/156</v>
      </c>
      <c r="Z1095" s="13"/>
      <c r="AT1095" s="1">
        <f t="shared" si="178"/>
        <v>0</v>
      </c>
      <c r="AU1095" s="1">
        <f t="shared" si="179"/>
        <v>0</v>
      </c>
      <c r="AV1095" s="1">
        <f t="shared" si="180"/>
        <v>0</v>
      </c>
      <c r="AW1095" s="1">
        <f t="shared" si="181"/>
        <v>0</v>
      </c>
      <c r="AX1095" s="1">
        <f t="shared" si="182"/>
        <v>0</v>
      </c>
    </row>
    <row r="1096" spans="1:50" s="1" customFormat="1" ht="24.95" customHeight="1" outlineLevel="3" x14ac:dyDescent="0.2">
      <c r="A1096" s="11"/>
      <c r="B1096" s="12">
        <v>720</v>
      </c>
      <c r="C1096" s="15">
        <v>1090</v>
      </c>
      <c r="D1096" s="12">
        <v>26594</v>
      </c>
      <c r="E1096" s="13" t="s">
        <v>3591</v>
      </c>
      <c r="F1096" s="13" t="s">
        <v>3617</v>
      </c>
      <c r="G1096" s="13" t="s">
        <v>56</v>
      </c>
      <c r="H1096" s="13"/>
      <c r="I1096" s="12">
        <v>2025</v>
      </c>
      <c r="J1096" s="13" t="s">
        <v>3618</v>
      </c>
      <c r="K1096" s="12">
        <v>9785961482348</v>
      </c>
      <c r="L1096" s="13" t="s">
        <v>3619</v>
      </c>
      <c r="M1096" s="12">
        <v>400</v>
      </c>
      <c r="N1096" s="14">
        <v>0.7</v>
      </c>
      <c r="O1096" s="12">
        <v>170</v>
      </c>
      <c r="P1096" s="12">
        <v>230</v>
      </c>
      <c r="Q1096" s="12">
        <v>6</v>
      </c>
      <c r="R1096" s="13" t="s">
        <v>100</v>
      </c>
      <c r="S1096" s="13"/>
      <c r="T1096" s="15">
        <v>2000</v>
      </c>
      <c r="U1096" s="13" t="s">
        <v>52</v>
      </c>
      <c r="V1096" s="13" t="s">
        <v>59</v>
      </c>
      <c r="W1096" s="12">
        <v>10</v>
      </c>
      <c r="X1096" s="33" t="str">
        <f>HYPERLINK("https://www.alpinabook.ru/catalog/book-dusha-kvartiry","ссылка на книгу")</f>
        <v>ссылка на книгу</v>
      </c>
      <c r="Y1096" s="34" t="str">
        <f>HYPERLINK("https://api-enni.alpina.ru/FilePrivilegesApproval/328","https://api-enni.alpina.ru/FilePrivilegesApproval/328")</f>
        <v>https://api-enni.alpina.ru/FilePrivilegesApproval/328</v>
      </c>
      <c r="Z1096" s="13" t="s">
        <v>954</v>
      </c>
      <c r="AT1096" s="1">
        <f t="shared" si="178"/>
        <v>0</v>
      </c>
      <c r="AU1096" s="1">
        <f t="shared" si="179"/>
        <v>0</v>
      </c>
      <c r="AV1096" s="1">
        <f t="shared" si="180"/>
        <v>0</v>
      </c>
      <c r="AW1096" s="1">
        <f t="shared" si="181"/>
        <v>0</v>
      </c>
      <c r="AX1096" s="1">
        <f t="shared" si="182"/>
        <v>0</v>
      </c>
    </row>
    <row r="1097" spans="1:50" s="1" customFormat="1" ht="24.95" customHeight="1" outlineLevel="3" x14ac:dyDescent="0.2">
      <c r="A1097" s="26"/>
      <c r="B1097" s="27">
        <v>340</v>
      </c>
      <c r="C1097" s="27">
        <v>540</v>
      </c>
      <c r="D1097" s="27">
        <v>8308</v>
      </c>
      <c r="E1097" s="29" t="s">
        <v>2297</v>
      </c>
      <c r="F1097" s="29" t="s">
        <v>3620</v>
      </c>
      <c r="G1097" s="29" t="s">
        <v>86</v>
      </c>
      <c r="H1097" s="29" t="s">
        <v>40</v>
      </c>
      <c r="I1097" s="27">
        <v>2019</v>
      </c>
      <c r="J1097" s="29" t="s">
        <v>3621</v>
      </c>
      <c r="K1097" s="27">
        <v>9785916718539</v>
      </c>
      <c r="L1097" s="29" t="s">
        <v>3622</v>
      </c>
      <c r="M1097" s="27">
        <v>120</v>
      </c>
      <c r="N1097" s="30">
        <v>0.2</v>
      </c>
      <c r="O1097" s="27">
        <v>115</v>
      </c>
      <c r="P1097" s="27">
        <v>201</v>
      </c>
      <c r="Q1097" s="27">
        <v>28</v>
      </c>
      <c r="R1097" s="29" t="s">
        <v>731</v>
      </c>
      <c r="S1097" s="29"/>
      <c r="T1097" s="28">
        <v>2000</v>
      </c>
      <c r="U1097" s="29" t="s">
        <v>268</v>
      </c>
      <c r="V1097" s="29" t="s">
        <v>45</v>
      </c>
      <c r="W1097" s="27">
        <v>10</v>
      </c>
      <c r="X1097" s="37" t="str">
        <f>HYPERLINK("https://www.alpinabook.ru/catalog/book-434290","ссылка на книгу")</f>
        <v>ссылка на книгу</v>
      </c>
      <c r="Y1097" s="38" t="str">
        <f>HYPERLINK("https://api-enni.alpina.ru/FilePrivilegesApproval/5","https://api-enni.alpina.ru/FilePrivilegesApproval/5")</f>
        <v>https://api-enni.alpina.ru/FilePrivilegesApproval/5</v>
      </c>
      <c r="Z1097" s="29"/>
      <c r="AT1097" s="1">
        <f t="shared" si="178"/>
        <v>0</v>
      </c>
      <c r="AU1097" s="1">
        <f t="shared" si="179"/>
        <v>0</v>
      </c>
      <c r="AV1097" s="1">
        <f t="shared" si="180"/>
        <v>0</v>
      </c>
      <c r="AW1097" s="1">
        <f t="shared" si="181"/>
        <v>0</v>
      </c>
      <c r="AX1097" s="1">
        <f t="shared" si="182"/>
        <v>0</v>
      </c>
    </row>
    <row r="1098" spans="1:50" s="1" customFormat="1" ht="24.95" customHeight="1" outlineLevel="3" x14ac:dyDescent="0.2">
      <c r="A1098" s="11"/>
      <c r="B1098" s="12">
        <v>440</v>
      </c>
      <c r="C1098" s="12">
        <v>440</v>
      </c>
      <c r="D1098" s="12">
        <v>27634</v>
      </c>
      <c r="E1098" s="13" t="s">
        <v>468</v>
      </c>
      <c r="F1098" s="13" t="s">
        <v>469</v>
      </c>
      <c r="G1098" s="13" t="s">
        <v>56</v>
      </c>
      <c r="H1098" s="13" t="s">
        <v>40</v>
      </c>
      <c r="I1098" s="12">
        <v>2025</v>
      </c>
      <c r="J1098" s="13" t="s">
        <v>470</v>
      </c>
      <c r="K1098" s="12">
        <v>9785961485905</v>
      </c>
      <c r="L1098" s="13" t="s">
        <v>471</v>
      </c>
      <c r="M1098" s="12">
        <v>164</v>
      </c>
      <c r="N1098" s="14">
        <v>0.21</v>
      </c>
      <c r="O1098" s="12">
        <v>140</v>
      </c>
      <c r="P1098" s="12">
        <v>210</v>
      </c>
      <c r="Q1098" s="12">
        <v>10</v>
      </c>
      <c r="R1098" s="13" t="s">
        <v>43</v>
      </c>
      <c r="S1098" s="13"/>
      <c r="T1098" s="15">
        <v>1000</v>
      </c>
      <c r="U1098" s="13" t="s">
        <v>44</v>
      </c>
      <c r="V1098" s="13" t="s">
        <v>64</v>
      </c>
      <c r="W1098" s="12">
        <v>10</v>
      </c>
      <c r="X1098" s="33" t="str">
        <f>HYPERLINK("https://www.alpinabook.ru/catalog/book-kak-lgat-pri-pomoshchi-statistiki","ссылка на книгу")</f>
        <v>ссылка на книгу</v>
      </c>
      <c r="Y1098" s="34" t="str">
        <f>HYPERLINK("https://api-enni.alpina.ru/FilePrivilegesApproval/125","https://api-enni.alpina.ru/FilePrivilegesApproval/125")</f>
        <v>https://api-enni.alpina.ru/FilePrivilegesApproval/125</v>
      </c>
      <c r="Z1098" s="13" t="s">
        <v>431</v>
      </c>
      <c r="AT1098" s="1">
        <f t="shared" si="178"/>
        <v>0</v>
      </c>
      <c r="AU1098" s="1">
        <f t="shared" si="179"/>
        <v>0</v>
      </c>
      <c r="AV1098" s="1">
        <f t="shared" si="180"/>
        <v>0</v>
      </c>
      <c r="AW1098" s="1">
        <f t="shared" si="181"/>
        <v>0</v>
      </c>
      <c r="AX1098" s="1">
        <f t="shared" si="182"/>
        <v>0</v>
      </c>
    </row>
    <row r="1099" spans="1:50" s="1" customFormat="1" ht="24.95" customHeight="1" outlineLevel="3" x14ac:dyDescent="0.2">
      <c r="A1099" s="11"/>
      <c r="B1099" s="12">
        <v>890</v>
      </c>
      <c r="C1099" s="12">
        <v>890</v>
      </c>
      <c r="D1099" s="12">
        <v>22903</v>
      </c>
      <c r="E1099" s="13" t="s">
        <v>3623</v>
      </c>
      <c r="F1099" s="13" t="s">
        <v>3624</v>
      </c>
      <c r="G1099" s="13" t="s">
        <v>97</v>
      </c>
      <c r="H1099" s="13" t="s">
        <v>40</v>
      </c>
      <c r="I1099" s="12">
        <v>2022</v>
      </c>
      <c r="J1099" s="13" t="s">
        <v>3625</v>
      </c>
      <c r="K1099" s="12">
        <v>9785907534131</v>
      </c>
      <c r="L1099" s="13" t="s">
        <v>3626</v>
      </c>
      <c r="M1099" s="12">
        <v>544</v>
      </c>
      <c r="N1099" s="14">
        <v>0.76</v>
      </c>
      <c r="O1099" s="12">
        <v>153</v>
      </c>
      <c r="P1099" s="12">
        <v>216</v>
      </c>
      <c r="Q1099" s="12">
        <v>8</v>
      </c>
      <c r="R1099" s="13" t="s">
        <v>43</v>
      </c>
      <c r="S1099" s="13"/>
      <c r="T1099" s="15">
        <v>1200</v>
      </c>
      <c r="U1099" s="13" t="s">
        <v>52</v>
      </c>
      <c r="V1099" s="13" t="s">
        <v>59</v>
      </c>
      <c r="W1099" s="12">
        <v>10</v>
      </c>
      <c r="X1099" s="33" t="str">
        <f>HYPERLINK("https://www.alpinabook.ru/catalog/book-gosudarstvo-dlya-grazhdan","ссылка на книгу")</f>
        <v>ссылка на книгу</v>
      </c>
      <c r="Y1099" s="34" t="str">
        <f>HYPERLINK("https://api-enni.alpina.ru/FilePrivilegesApproval/282","https://api-enni.alpina.ru/FilePrivilegesApproval/282")</f>
        <v>https://api-enni.alpina.ru/FilePrivilegesApproval/282</v>
      </c>
      <c r="Z1099" s="13"/>
      <c r="AT1099" s="1">
        <f t="shared" si="178"/>
        <v>0</v>
      </c>
      <c r="AU1099" s="1">
        <f t="shared" si="179"/>
        <v>0</v>
      </c>
      <c r="AV1099" s="1">
        <f t="shared" si="180"/>
        <v>0</v>
      </c>
      <c r="AW1099" s="1">
        <f t="shared" si="181"/>
        <v>0</v>
      </c>
      <c r="AX1099" s="1">
        <f t="shared" si="182"/>
        <v>0</v>
      </c>
    </row>
    <row r="1100" spans="1:50" s="1" customFormat="1" ht="24.95" customHeight="1" outlineLevel="3" x14ac:dyDescent="0.2">
      <c r="A1100" s="11"/>
      <c r="B1100" s="15">
        <v>1390</v>
      </c>
      <c r="C1100" s="15">
        <v>1790</v>
      </c>
      <c r="D1100" s="12">
        <v>8588</v>
      </c>
      <c r="E1100" s="13" t="s">
        <v>3627</v>
      </c>
      <c r="F1100" s="13" t="s">
        <v>3628</v>
      </c>
      <c r="G1100" s="13" t="s">
        <v>56</v>
      </c>
      <c r="H1100" s="13" t="s">
        <v>40</v>
      </c>
      <c r="I1100" s="12">
        <v>2025</v>
      </c>
      <c r="J1100" s="13" t="s">
        <v>3629</v>
      </c>
      <c r="K1100" s="12">
        <v>9785961468496</v>
      </c>
      <c r="L1100" s="13" t="s">
        <v>3630</v>
      </c>
      <c r="M1100" s="12">
        <v>414</v>
      </c>
      <c r="N1100" s="14">
        <v>0.77</v>
      </c>
      <c r="O1100" s="12">
        <v>171</v>
      </c>
      <c r="P1100" s="12">
        <v>241</v>
      </c>
      <c r="Q1100" s="12">
        <v>5</v>
      </c>
      <c r="R1100" s="13" t="s">
        <v>94</v>
      </c>
      <c r="S1100" s="13"/>
      <c r="T1100" s="15">
        <v>1000</v>
      </c>
      <c r="U1100" s="13" t="s">
        <v>52</v>
      </c>
      <c r="V1100" s="13" t="s">
        <v>64</v>
      </c>
      <c r="W1100" s="12">
        <v>10</v>
      </c>
      <c r="X1100" s="33" t="str">
        <f>HYPERLINK("https://www.alpinabook.ru/catalog/book-karta-i-territoriya","ссылка на книгу")</f>
        <v>ссылка на книгу</v>
      </c>
      <c r="Y1100" s="34" t="str">
        <f>HYPERLINK("https://api-enni.alpina.ru/FilePrivilegesApproval/156","https://api-enni.alpina.ru/FilePrivilegesApproval/156")</f>
        <v>https://api-enni.alpina.ru/FilePrivilegesApproval/156</v>
      </c>
      <c r="Z1100" s="13"/>
      <c r="AT1100" s="1">
        <f t="shared" si="178"/>
        <v>0</v>
      </c>
      <c r="AU1100" s="1">
        <f t="shared" si="179"/>
        <v>0</v>
      </c>
      <c r="AV1100" s="1">
        <f t="shared" si="180"/>
        <v>0</v>
      </c>
      <c r="AW1100" s="1">
        <f t="shared" si="181"/>
        <v>0</v>
      </c>
      <c r="AX1100" s="1">
        <f t="shared" si="182"/>
        <v>0</v>
      </c>
    </row>
    <row r="1101" spans="1:50" s="1" customFormat="1" ht="24.95" customHeight="1" outlineLevel="3" x14ac:dyDescent="0.2">
      <c r="A1101" s="26"/>
      <c r="B1101" s="27">
        <v>530</v>
      </c>
      <c r="C1101" s="27">
        <v>790</v>
      </c>
      <c r="D1101" s="27">
        <v>4844</v>
      </c>
      <c r="E1101" s="29" t="s">
        <v>3631</v>
      </c>
      <c r="F1101" s="29" t="s">
        <v>3632</v>
      </c>
      <c r="G1101" s="29" t="s">
        <v>86</v>
      </c>
      <c r="H1101" s="29" t="s">
        <v>40</v>
      </c>
      <c r="I1101" s="27">
        <v>2019</v>
      </c>
      <c r="J1101" s="29" t="s">
        <v>3633</v>
      </c>
      <c r="K1101" s="27">
        <v>9785001391876</v>
      </c>
      <c r="L1101" s="29" t="s">
        <v>3634</v>
      </c>
      <c r="M1101" s="27">
        <v>390</v>
      </c>
      <c r="N1101" s="30">
        <v>0.6</v>
      </c>
      <c r="O1101" s="27">
        <v>153</v>
      </c>
      <c r="P1101" s="27">
        <v>216</v>
      </c>
      <c r="Q1101" s="27">
        <v>10</v>
      </c>
      <c r="R1101" s="29" t="s">
        <v>43</v>
      </c>
      <c r="S1101" s="29"/>
      <c r="T1101" s="28">
        <v>1000</v>
      </c>
      <c r="U1101" s="29" t="s">
        <v>52</v>
      </c>
      <c r="V1101" s="29" t="s">
        <v>45</v>
      </c>
      <c r="W1101" s="27">
        <v>10</v>
      </c>
      <c r="X1101" s="37" t="str">
        <f>HYPERLINK("https://www.alpinabook.ru/catalog/book-8828","ссылка на книгу")</f>
        <v>ссылка на книгу</v>
      </c>
      <c r="Y1101" s="38" t="str">
        <f>HYPERLINK("https://api-enni.alpina.ru/FilePrivilegesApproval/5","https://api-enni.alpina.ru/FilePrivilegesApproval/5")</f>
        <v>https://api-enni.alpina.ru/FilePrivilegesApproval/5</v>
      </c>
      <c r="Z1101" s="29"/>
      <c r="AT1101" s="1">
        <f t="shared" si="178"/>
        <v>0</v>
      </c>
      <c r="AU1101" s="1">
        <f t="shared" si="179"/>
        <v>0</v>
      </c>
      <c r="AV1101" s="1">
        <f t="shared" si="180"/>
        <v>0</v>
      </c>
      <c r="AW1101" s="1">
        <f t="shared" si="181"/>
        <v>0</v>
      </c>
      <c r="AX1101" s="1">
        <f t="shared" si="182"/>
        <v>0</v>
      </c>
    </row>
    <row r="1102" spans="1:50" s="1" customFormat="1" ht="24.95" customHeight="1" outlineLevel="3" x14ac:dyDescent="0.2">
      <c r="A1102" s="11"/>
      <c r="B1102" s="12">
        <v>530</v>
      </c>
      <c r="C1102" s="12">
        <v>790</v>
      </c>
      <c r="D1102" s="12">
        <v>20827</v>
      </c>
      <c r="E1102" s="13" t="s">
        <v>3635</v>
      </c>
      <c r="F1102" s="13" t="s">
        <v>3636</v>
      </c>
      <c r="G1102" s="13" t="s">
        <v>86</v>
      </c>
      <c r="H1102" s="13"/>
      <c r="I1102" s="12">
        <v>2021</v>
      </c>
      <c r="J1102" s="13" t="s">
        <v>3637</v>
      </c>
      <c r="K1102" s="12">
        <v>9785001393832</v>
      </c>
      <c r="L1102" s="13" t="s">
        <v>3638</v>
      </c>
      <c r="M1102" s="12">
        <v>384</v>
      </c>
      <c r="N1102" s="14">
        <v>0.52</v>
      </c>
      <c r="O1102" s="12">
        <v>150</v>
      </c>
      <c r="P1102" s="12">
        <v>220</v>
      </c>
      <c r="Q1102" s="12">
        <v>8</v>
      </c>
      <c r="R1102" s="13" t="s">
        <v>43</v>
      </c>
      <c r="S1102" s="13"/>
      <c r="T1102" s="15">
        <v>1500</v>
      </c>
      <c r="U1102" s="13" t="s">
        <v>52</v>
      </c>
      <c r="V1102" s="13" t="s">
        <v>45</v>
      </c>
      <c r="W1102" s="12">
        <v>10</v>
      </c>
      <c r="X1102" s="33" t="str">
        <f>HYPERLINK("https://www.alpinabook.ru/catalog/book-676024","ссылка на книгу")</f>
        <v>ссылка на книгу</v>
      </c>
      <c r="Y1102" s="34" t="str">
        <f>HYPERLINK("https://api-enni.alpina.ru/FilePrivilegesApproval/258","https://api-enni.alpina.ru/FilePrivilegesApproval/258")</f>
        <v>https://api-enni.alpina.ru/FilePrivilegesApproval/258</v>
      </c>
      <c r="Z1102" s="13"/>
      <c r="AT1102" s="1">
        <f t="shared" si="178"/>
        <v>0</v>
      </c>
      <c r="AU1102" s="1">
        <f t="shared" si="179"/>
        <v>0</v>
      </c>
      <c r="AV1102" s="1">
        <f t="shared" si="180"/>
        <v>0</v>
      </c>
      <c r="AW1102" s="1">
        <f t="shared" si="181"/>
        <v>0</v>
      </c>
      <c r="AX1102" s="1">
        <f t="shared" si="182"/>
        <v>0</v>
      </c>
    </row>
    <row r="1103" spans="1:50" s="1" customFormat="1" ht="24.95" customHeight="1" outlineLevel="3" x14ac:dyDescent="0.2">
      <c r="A1103" s="26"/>
      <c r="B1103" s="27">
        <v>490</v>
      </c>
      <c r="C1103" s="27">
        <v>740</v>
      </c>
      <c r="D1103" s="27">
        <v>5281</v>
      </c>
      <c r="E1103" s="29" t="s">
        <v>3639</v>
      </c>
      <c r="F1103" s="29" t="s">
        <v>3640</v>
      </c>
      <c r="G1103" s="29" t="s">
        <v>56</v>
      </c>
      <c r="H1103" s="29"/>
      <c r="I1103" s="27">
        <v>2019</v>
      </c>
      <c r="J1103" s="29" t="s">
        <v>3641</v>
      </c>
      <c r="K1103" s="27">
        <v>9785961471083</v>
      </c>
      <c r="L1103" s="29" t="s">
        <v>3642</v>
      </c>
      <c r="M1103" s="27">
        <v>198</v>
      </c>
      <c r="N1103" s="30">
        <v>0.26</v>
      </c>
      <c r="O1103" s="27">
        <v>141</v>
      </c>
      <c r="P1103" s="27">
        <v>210</v>
      </c>
      <c r="Q1103" s="27">
        <v>20</v>
      </c>
      <c r="R1103" s="29" t="s">
        <v>43</v>
      </c>
      <c r="S1103" s="29"/>
      <c r="T1103" s="28">
        <v>3000</v>
      </c>
      <c r="U1103" s="29" t="s">
        <v>44</v>
      </c>
      <c r="V1103" s="29" t="s">
        <v>64</v>
      </c>
      <c r="W1103" s="27">
        <v>10</v>
      </c>
      <c r="X1103" s="37" t="str">
        <f>HYPERLINK("https://www.alpinabook.ru/catalog/book-465436","ссылка на книгу")</f>
        <v>ссылка на книгу</v>
      </c>
      <c r="Y1103" s="38" t="str">
        <f>HYPERLINK("https://api-enni.alpina.ru/FilePrivilegesApproval/2","https://api-enni.alpina.ru/FilePrivilegesApproval/2")</f>
        <v>https://api-enni.alpina.ru/FilePrivilegesApproval/2</v>
      </c>
      <c r="Z1103" s="29"/>
      <c r="AT1103" s="1">
        <f t="shared" si="178"/>
        <v>0</v>
      </c>
      <c r="AU1103" s="1">
        <f t="shared" si="179"/>
        <v>0</v>
      </c>
      <c r="AV1103" s="1">
        <f t="shared" si="180"/>
        <v>0</v>
      </c>
      <c r="AW1103" s="1">
        <f t="shared" si="181"/>
        <v>0</v>
      </c>
      <c r="AX1103" s="1">
        <f t="shared" si="182"/>
        <v>0</v>
      </c>
    </row>
    <row r="1104" spans="1:50" s="1" customFormat="1" ht="24.95" customHeight="1" outlineLevel="3" x14ac:dyDescent="0.2">
      <c r="A1104" s="26"/>
      <c r="B1104" s="28">
        <v>1670</v>
      </c>
      <c r="C1104" s="28">
        <v>2190</v>
      </c>
      <c r="D1104" s="27">
        <v>4370</v>
      </c>
      <c r="E1104" s="29" t="s">
        <v>3643</v>
      </c>
      <c r="F1104" s="29" t="s">
        <v>3644</v>
      </c>
      <c r="G1104" s="29" t="s">
        <v>97</v>
      </c>
      <c r="H1104" s="29" t="s">
        <v>40</v>
      </c>
      <c r="I1104" s="27">
        <v>2023</v>
      </c>
      <c r="J1104" s="29" t="s">
        <v>3645</v>
      </c>
      <c r="K1104" s="27">
        <v>9785907394636</v>
      </c>
      <c r="L1104" s="29" t="s">
        <v>3646</v>
      </c>
      <c r="M1104" s="27">
        <v>948</v>
      </c>
      <c r="N1104" s="30">
        <v>1.58</v>
      </c>
      <c r="O1104" s="27">
        <v>171</v>
      </c>
      <c r="P1104" s="27">
        <v>241</v>
      </c>
      <c r="Q1104" s="27">
        <v>2</v>
      </c>
      <c r="R1104" s="29" t="s">
        <v>94</v>
      </c>
      <c r="S1104" s="29"/>
      <c r="T1104" s="28">
        <v>1000</v>
      </c>
      <c r="U1104" s="29" t="s">
        <v>52</v>
      </c>
      <c r="V1104" s="29" t="s">
        <v>64</v>
      </c>
      <c r="W1104" s="27">
        <v>10</v>
      </c>
      <c r="X1104" s="37" t="str">
        <f>HYPERLINK("https://www.alpinabook.ru/catalog/book-mezhdunarodnaya-konkurentsiya","ссылка на книгу")</f>
        <v>ссылка на книгу</v>
      </c>
      <c r="Y1104" s="38" t="str">
        <f>HYPERLINK("https://api-enni.alpina.ru/FilePrivilegesApproval/154","https://api-enni.alpina.ru/FilePrivilegesApproval/154")</f>
        <v>https://api-enni.alpina.ru/FilePrivilegesApproval/154</v>
      </c>
      <c r="Z1104" s="29"/>
      <c r="AT1104" s="1">
        <f t="shared" si="178"/>
        <v>0</v>
      </c>
      <c r="AU1104" s="1">
        <f t="shared" si="179"/>
        <v>0</v>
      </c>
      <c r="AV1104" s="1">
        <f t="shared" si="180"/>
        <v>0</v>
      </c>
      <c r="AW1104" s="1">
        <f t="shared" si="181"/>
        <v>0</v>
      </c>
      <c r="AX1104" s="1">
        <f t="shared" si="182"/>
        <v>0</v>
      </c>
    </row>
    <row r="1105" spans="1:50" s="1" customFormat="1" ht="24.95" customHeight="1" outlineLevel="3" x14ac:dyDescent="0.2">
      <c r="A1105" s="11"/>
      <c r="B1105" s="12">
        <v>590</v>
      </c>
      <c r="C1105" s="12">
        <v>590</v>
      </c>
      <c r="D1105" s="12">
        <v>19320</v>
      </c>
      <c r="E1105" s="13" t="s">
        <v>3647</v>
      </c>
      <c r="F1105" s="13" t="s">
        <v>3648</v>
      </c>
      <c r="G1105" s="13" t="s">
        <v>56</v>
      </c>
      <c r="H1105" s="13" t="s">
        <v>164</v>
      </c>
      <c r="I1105" s="12">
        <v>2021</v>
      </c>
      <c r="J1105" s="13" t="s">
        <v>3649</v>
      </c>
      <c r="K1105" s="12">
        <v>9785961439137</v>
      </c>
      <c r="L1105" s="13" t="s">
        <v>3650</v>
      </c>
      <c r="M1105" s="12">
        <v>173</v>
      </c>
      <c r="N1105" s="14">
        <v>0.31</v>
      </c>
      <c r="O1105" s="12">
        <v>146</v>
      </c>
      <c r="P1105" s="12">
        <v>216</v>
      </c>
      <c r="Q1105" s="12">
        <v>22</v>
      </c>
      <c r="R1105" s="13" t="s">
        <v>43</v>
      </c>
      <c r="S1105" s="13"/>
      <c r="T1105" s="15">
        <v>2000</v>
      </c>
      <c r="U1105" s="13" t="s">
        <v>52</v>
      </c>
      <c r="V1105" s="13" t="s">
        <v>64</v>
      </c>
      <c r="W1105" s="12">
        <v>10</v>
      </c>
      <c r="X1105" s="33" t="str">
        <f>HYPERLINK("https://www.alpinabook.ru/catalog/book-mir-posle-nas","ссылка на книгу")</f>
        <v>ссылка на книгу</v>
      </c>
      <c r="Y1105" s="34" t="str">
        <f>HYPERLINK("https://api-enni.alpina.ru/FilePrivilegesApproval/119","https://api-enni.alpina.ru/FilePrivilegesApproval/119")</f>
        <v>https://api-enni.alpina.ru/FilePrivilegesApproval/119</v>
      </c>
      <c r="Z1105" s="13"/>
      <c r="AT1105" s="1">
        <f t="shared" si="178"/>
        <v>0</v>
      </c>
      <c r="AU1105" s="1">
        <f t="shared" si="179"/>
        <v>0</v>
      </c>
      <c r="AV1105" s="1">
        <f t="shared" si="180"/>
        <v>0</v>
      </c>
      <c r="AW1105" s="1">
        <f t="shared" si="181"/>
        <v>0</v>
      </c>
      <c r="AX1105" s="1">
        <f t="shared" si="182"/>
        <v>0</v>
      </c>
    </row>
    <row r="1106" spans="1:50" s="1" customFormat="1" ht="24.95" customHeight="1" outlineLevel="3" x14ac:dyDescent="0.2">
      <c r="A1106" s="11"/>
      <c r="B1106" s="12">
        <v>640</v>
      </c>
      <c r="C1106" s="12">
        <v>940</v>
      </c>
      <c r="D1106" s="12">
        <v>27403</v>
      </c>
      <c r="E1106" s="13" t="s">
        <v>3651</v>
      </c>
      <c r="F1106" s="13" t="s">
        <v>3652</v>
      </c>
      <c r="G1106" s="13" t="s">
        <v>86</v>
      </c>
      <c r="H1106" s="13"/>
      <c r="I1106" s="12">
        <v>2025</v>
      </c>
      <c r="J1106" s="13" t="s">
        <v>3653</v>
      </c>
      <c r="K1106" s="12">
        <v>9785001398547</v>
      </c>
      <c r="L1106" s="13" t="s">
        <v>3654</v>
      </c>
      <c r="M1106" s="12">
        <v>348</v>
      </c>
      <c r="N1106" s="14">
        <v>0.52</v>
      </c>
      <c r="O1106" s="12">
        <v>150</v>
      </c>
      <c r="P1106" s="12">
        <v>220</v>
      </c>
      <c r="Q1106" s="12">
        <v>12</v>
      </c>
      <c r="R1106" s="13" t="s">
        <v>43</v>
      </c>
      <c r="S1106" s="13"/>
      <c r="T1106" s="15">
        <v>1000</v>
      </c>
      <c r="U1106" s="13" t="s">
        <v>52</v>
      </c>
      <c r="V1106" s="13" t="s">
        <v>59</v>
      </c>
      <c r="W1106" s="12">
        <v>10</v>
      </c>
      <c r="X1106" s="33" t="str">
        <f>HYPERLINK("https://www.alpinabook.ru/catalog/book-nauchnoe-volonterstvo","ссылка на книгу")</f>
        <v>ссылка на книгу</v>
      </c>
      <c r="Y1106" s="34" t="str">
        <f>HYPERLINK("https://api-enni.alpina.ru/FilePrivilegesApproval/752","https://api-enni.alpina.ru/FilePrivilegesApproval/752")</f>
        <v>https://api-enni.alpina.ru/FilePrivilegesApproval/752</v>
      </c>
      <c r="Z1106" s="13"/>
      <c r="AT1106" s="1">
        <f t="shared" si="178"/>
        <v>0</v>
      </c>
      <c r="AU1106" s="1">
        <f t="shared" si="179"/>
        <v>0</v>
      </c>
      <c r="AV1106" s="1">
        <f t="shared" si="180"/>
        <v>0</v>
      </c>
      <c r="AW1106" s="1">
        <f t="shared" si="181"/>
        <v>0</v>
      </c>
      <c r="AX1106" s="1">
        <f t="shared" si="182"/>
        <v>0</v>
      </c>
    </row>
    <row r="1107" spans="1:50" s="1" customFormat="1" ht="24.95" customHeight="1" outlineLevel="3" x14ac:dyDescent="0.2">
      <c r="A1107" s="11"/>
      <c r="B1107" s="12">
        <v>440</v>
      </c>
      <c r="C1107" s="12">
        <v>440</v>
      </c>
      <c r="D1107" s="12">
        <v>26262</v>
      </c>
      <c r="E1107" s="13" t="s">
        <v>3655</v>
      </c>
      <c r="F1107" s="13" t="s">
        <v>3656</v>
      </c>
      <c r="G1107" s="13" t="s">
        <v>56</v>
      </c>
      <c r="H1107" s="13"/>
      <c r="I1107" s="12">
        <v>2025</v>
      </c>
      <c r="J1107" s="13" t="s">
        <v>3657</v>
      </c>
      <c r="K1107" s="12">
        <v>9785961480993</v>
      </c>
      <c r="L1107" s="13" t="s">
        <v>3658</v>
      </c>
      <c r="M1107" s="12">
        <v>332</v>
      </c>
      <c r="N1107" s="14">
        <v>0.35</v>
      </c>
      <c r="O1107" s="12">
        <v>130</v>
      </c>
      <c r="P1107" s="12">
        <v>200</v>
      </c>
      <c r="Q1107" s="12">
        <v>14</v>
      </c>
      <c r="R1107" s="13" t="s">
        <v>82</v>
      </c>
      <c r="S1107" s="13"/>
      <c r="T1107" s="15">
        <v>2000</v>
      </c>
      <c r="U1107" s="13" t="s">
        <v>44</v>
      </c>
      <c r="V1107" s="13" t="s">
        <v>45</v>
      </c>
      <c r="W1107" s="12">
        <v>10</v>
      </c>
      <c r="X1107" s="33" t="str">
        <f>HYPERLINK("https://www.alpinabook.ru/catalog/book-ne-mogu-molchat","ссылка на книгу")</f>
        <v>ссылка на книгу</v>
      </c>
      <c r="Y1107" s="34" t="str">
        <f>HYPERLINK("https://api-enni.alpina.ru/FilePrivilegesApproval/157","https://api-enni.alpina.ru/FilePrivilegesApproval/157")</f>
        <v>https://api-enni.alpina.ru/FilePrivilegesApproval/157</v>
      </c>
      <c r="Z1107" s="13" t="s">
        <v>2138</v>
      </c>
      <c r="AT1107" s="1">
        <f t="shared" si="178"/>
        <v>0</v>
      </c>
      <c r="AU1107" s="1">
        <f t="shared" si="179"/>
        <v>0</v>
      </c>
      <c r="AV1107" s="1">
        <f t="shared" si="180"/>
        <v>0</v>
      </c>
      <c r="AW1107" s="1">
        <f t="shared" si="181"/>
        <v>0</v>
      </c>
      <c r="AX1107" s="1">
        <f t="shared" si="182"/>
        <v>0</v>
      </c>
    </row>
    <row r="1108" spans="1:50" s="1" customFormat="1" ht="24.95" customHeight="1" outlineLevel="3" x14ac:dyDescent="0.2">
      <c r="A1108" s="11"/>
      <c r="B1108" s="12">
        <v>490</v>
      </c>
      <c r="C1108" s="12">
        <v>740</v>
      </c>
      <c r="D1108" s="12">
        <v>26877</v>
      </c>
      <c r="E1108" s="13" t="s">
        <v>3655</v>
      </c>
      <c r="F1108" s="13" t="s">
        <v>3659</v>
      </c>
      <c r="G1108" s="13" t="s">
        <v>56</v>
      </c>
      <c r="H1108" s="13"/>
      <c r="I1108" s="12">
        <v>2025</v>
      </c>
      <c r="J1108" s="13" t="s">
        <v>3660</v>
      </c>
      <c r="K1108" s="12">
        <v>9785961483239</v>
      </c>
      <c r="L1108" s="13" t="s">
        <v>3661</v>
      </c>
      <c r="M1108" s="12">
        <v>332</v>
      </c>
      <c r="N1108" s="14">
        <v>0.44</v>
      </c>
      <c r="O1108" s="12">
        <v>130</v>
      </c>
      <c r="P1108" s="12">
        <v>210</v>
      </c>
      <c r="Q1108" s="12">
        <v>14</v>
      </c>
      <c r="R1108" s="13" t="s">
        <v>82</v>
      </c>
      <c r="S1108" s="13"/>
      <c r="T1108" s="15">
        <v>2000</v>
      </c>
      <c r="U1108" s="13" t="s">
        <v>52</v>
      </c>
      <c r="V1108" s="13" t="s">
        <v>45</v>
      </c>
      <c r="W1108" s="12">
        <v>10</v>
      </c>
      <c r="X1108" s="33" t="str">
        <f>HYPERLINK("https://www.alpinabook.ru/catalog/book-ne-mogu-molchat","ссылка на книгу")</f>
        <v>ссылка на книгу</v>
      </c>
      <c r="Y1108" s="34" t="str">
        <f>HYPERLINK("https://api-enni.alpina.ru/FilePrivilegesApproval/157","https://api-enni.alpina.ru/FilePrivilegesApproval/157")</f>
        <v>https://api-enni.alpina.ru/FilePrivilegesApproval/157</v>
      </c>
      <c r="Z1108" s="13"/>
      <c r="AT1108" s="1">
        <f t="shared" si="178"/>
        <v>0</v>
      </c>
      <c r="AU1108" s="1">
        <f t="shared" si="179"/>
        <v>0</v>
      </c>
      <c r="AV1108" s="1">
        <f t="shared" si="180"/>
        <v>0</v>
      </c>
      <c r="AW1108" s="1">
        <f t="shared" si="181"/>
        <v>0</v>
      </c>
      <c r="AX1108" s="1">
        <f t="shared" si="182"/>
        <v>0</v>
      </c>
    </row>
    <row r="1109" spans="1:50" s="1" customFormat="1" ht="24.95" customHeight="1" outlineLevel="3" x14ac:dyDescent="0.2">
      <c r="A1109" s="11"/>
      <c r="B1109" s="12">
        <v>690</v>
      </c>
      <c r="C1109" s="12">
        <v>990</v>
      </c>
      <c r="D1109" s="12">
        <v>17053</v>
      </c>
      <c r="E1109" s="13" t="s">
        <v>3662</v>
      </c>
      <c r="F1109" s="13" t="s">
        <v>3663</v>
      </c>
      <c r="G1109" s="13" t="s">
        <v>56</v>
      </c>
      <c r="H1109" s="13" t="s">
        <v>40</v>
      </c>
      <c r="I1109" s="12">
        <v>2025</v>
      </c>
      <c r="J1109" s="13" t="s">
        <v>3664</v>
      </c>
      <c r="K1109" s="12">
        <v>9785961437621</v>
      </c>
      <c r="L1109" s="13" t="s">
        <v>3665</v>
      </c>
      <c r="M1109" s="12">
        <v>496</v>
      </c>
      <c r="N1109" s="14">
        <v>0.66</v>
      </c>
      <c r="O1109" s="12">
        <v>150</v>
      </c>
      <c r="P1109" s="12">
        <v>220</v>
      </c>
      <c r="Q1109" s="12">
        <v>8</v>
      </c>
      <c r="R1109" s="13" t="s">
        <v>43</v>
      </c>
      <c r="S1109" s="13"/>
      <c r="T1109" s="15">
        <v>5000</v>
      </c>
      <c r="U1109" s="13" t="s">
        <v>52</v>
      </c>
      <c r="V1109" s="13" t="s">
        <v>45</v>
      </c>
      <c r="W1109" s="12">
        <v>10</v>
      </c>
      <c r="X1109" s="33" t="str">
        <f>HYPERLINK("https://www.alpinabook.ru/catalog/book-nevidimye-zhenshchiny","ссылка на книгу")</f>
        <v>ссылка на книгу</v>
      </c>
      <c r="Y1109" s="34" t="str">
        <f>HYPERLINK("https://api-enni.alpina.ru/FilePrivilegesApproval/125","https://api-enni.alpina.ru/FilePrivilegesApproval/125")</f>
        <v>https://api-enni.alpina.ru/FilePrivilegesApproval/125</v>
      </c>
      <c r="Z1109" s="13"/>
      <c r="AT1109" s="1">
        <f t="shared" si="178"/>
        <v>0</v>
      </c>
      <c r="AU1109" s="1">
        <f t="shared" si="179"/>
        <v>0</v>
      </c>
      <c r="AV1109" s="1">
        <f t="shared" si="180"/>
        <v>0</v>
      </c>
      <c r="AW1109" s="1">
        <f t="shared" si="181"/>
        <v>0</v>
      </c>
      <c r="AX1109" s="1">
        <f t="shared" si="182"/>
        <v>0</v>
      </c>
    </row>
    <row r="1110" spans="1:50" s="1" customFormat="1" ht="24.95" customHeight="1" outlineLevel="3" x14ac:dyDescent="0.2">
      <c r="A1110" s="11"/>
      <c r="B1110" s="12">
        <v>590</v>
      </c>
      <c r="C1110" s="12">
        <v>590</v>
      </c>
      <c r="D1110" s="12">
        <v>20829</v>
      </c>
      <c r="E1110" s="13" t="s">
        <v>3666</v>
      </c>
      <c r="F1110" s="13" t="s">
        <v>3667</v>
      </c>
      <c r="G1110" s="13" t="s">
        <v>56</v>
      </c>
      <c r="H1110" s="13"/>
      <c r="I1110" s="12">
        <v>2021</v>
      </c>
      <c r="J1110" s="13" t="s">
        <v>3668</v>
      </c>
      <c r="K1110" s="12">
        <v>9785961466188</v>
      </c>
      <c r="L1110" s="13" t="s">
        <v>3669</v>
      </c>
      <c r="M1110" s="12">
        <v>248</v>
      </c>
      <c r="N1110" s="14">
        <v>0.45</v>
      </c>
      <c r="O1110" s="12">
        <v>150</v>
      </c>
      <c r="P1110" s="12">
        <v>220</v>
      </c>
      <c r="Q1110" s="12">
        <v>14</v>
      </c>
      <c r="R1110" s="13" t="s">
        <v>43</v>
      </c>
      <c r="S1110" s="13"/>
      <c r="T1110" s="15">
        <v>3000</v>
      </c>
      <c r="U1110" s="13" t="s">
        <v>52</v>
      </c>
      <c r="V1110" s="13" t="s">
        <v>64</v>
      </c>
      <c r="W1110" s="12">
        <v>10</v>
      </c>
      <c r="X1110" s="33" t="str">
        <f>HYPERLINK("https://www.alpinabook.ru/catalog/book-710178","ссылка на книгу")</f>
        <v>ссылка на книгу</v>
      </c>
      <c r="Y1110" s="34" t="str">
        <f>HYPERLINK("https://api-enni.alpina.ru/FilePrivilegesApproval/108","https://api-enni.alpina.ru/FilePrivilegesApproval/108")</f>
        <v>https://api-enni.alpina.ru/FilePrivilegesApproval/108</v>
      </c>
      <c r="Z1110" s="13"/>
      <c r="AT1110" s="1">
        <f t="shared" si="178"/>
        <v>0</v>
      </c>
      <c r="AU1110" s="1">
        <f t="shared" si="179"/>
        <v>0</v>
      </c>
      <c r="AV1110" s="1">
        <f t="shared" si="180"/>
        <v>0</v>
      </c>
      <c r="AW1110" s="1">
        <f t="shared" si="181"/>
        <v>0</v>
      </c>
      <c r="AX1110" s="1">
        <f t="shared" si="182"/>
        <v>0</v>
      </c>
    </row>
    <row r="1111" spans="1:50" s="1" customFormat="1" ht="24.95" customHeight="1" outlineLevel="3" x14ac:dyDescent="0.2">
      <c r="A1111" s="11"/>
      <c r="B1111" s="12">
        <v>590</v>
      </c>
      <c r="C1111" s="12">
        <v>840</v>
      </c>
      <c r="D1111" s="12">
        <v>27157</v>
      </c>
      <c r="E1111" s="13" t="s">
        <v>3670</v>
      </c>
      <c r="F1111" s="13" t="s">
        <v>3671</v>
      </c>
      <c r="G1111" s="13" t="s">
        <v>56</v>
      </c>
      <c r="H1111" s="13"/>
      <c r="I1111" s="12">
        <v>2025</v>
      </c>
      <c r="J1111" s="13" t="s">
        <v>3672</v>
      </c>
      <c r="K1111" s="12">
        <v>9785961484090</v>
      </c>
      <c r="L1111" s="13" t="s">
        <v>3673</v>
      </c>
      <c r="M1111" s="12">
        <v>240</v>
      </c>
      <c r="N1111" s="14">
        <v>0.42</v>
      </c>
      <c r="O1111" s="12">
        <v>140</v>
      </c>
      <c r="P1111" s="12">
        <v>210</v>
      </c>
      <c r="Q1111" s="12">
        <v>10</v>
      </c>
      <c r="R1111" s="13" t="s">
        <v>43</v>
      </c>
      <c r="S1111" s="13"/>
      <c r="T1111" s="15">
        <v>1000</v>
      </c>
      <c r="U1111" s="13" t="s">
        <v>44</v>
      </c>
      <c r="V1111" s="13" t="s">
        <v>89</v>
      </c>
      <c r="W1111" s="12">
        <v>20</v>
      </c>
      <c r="X1111" s="33" t="str">
        <f>HYPERLINK("https://www.alpinabook.ru/catalog/book-novaya-semya","ссылка на книгу")</f>
        <v>ссылка на книгу</v>
      </c>
      <c r="Y1111" s="34" t="str">
        <f>HYPERLINK("https://api-enni.alpina.ru/FilePrivilegesApproval/301","https://api-enni.alpina.ru/FilePrivilegesApproval/301")</f>
        <v>https://api-enni.alpina.ru/FilePrivilegesApproval/301</v>
      </c>
      <c r="Z1111" s="13"/>
      <c r="AT1111" s="1">
        <f t="shared" si="178"/>
        <v>0</v>
      </c>
      <c r="AU1111" s="1">
        <f t="shared" si="179"/>
        <v>0</v>
      </c>
      <c r="AV1111" s="1">
        <f t="shared" si="180"/>
        <v>0</v>
      </c>
      <c r="AW1111" s="1">
        <f t="shared" si="181"/>
        <v>0</v>
      </c>
      <c r="AX1111" s="1">
        <f t="shared" si="182"/>
        <v>0</v>
      </c>
    </row>
    <row r="1112" spans="1:50" s="1" customFormat="1" ht="24.95" customHeight="1" outlineLevel="3" x14ac:dyDescent="0.2">
      <c r="A1112" s="11"/>
      <c r="B1112" s="12">
        <v>640</v>
      </c>
      <c r="C1112" s="12">
        <v>940</v>
      </c>
      <c r="D1112" s="12">
        <v>29405</v>
      </c>
      <c r="E1112" s="13" t="s">
        <v>3674</v>
      </c>
      <c r="F1112" s="13" t="s">
        <v>3675</v>
      </c>
      <c r="G1112" s="13" t="s">
        <v>56</v>
      </c>
      <c r="H1112" s="13" t="s">
        <v>164</v>
      </c>
      <c r="I1112" s="12">
        <v>2024</v>
      </c>
      <c r="J1112" s="13" t="s">
        <v>3676</v>
      </c>
      <c r="K1112" s="12">
        <v>9785961492453</v>
      </c>
      <c r="L1112" s="13" t="s">
        <v>3677</v>
      </c>
      <c r="M1112" s="12">
        <v>368</v>
      </c>
      <c r="N1112" s="14">
        <v>0.45</v>
      </c>
      <c r="O1112" s="12">
        <v>140</v>
      </c>
      <c r="P1112" s="12">
        <v>210</v>
      </c>
      <c r="Q1112" s="12">
        <v>12</v>
      </c>
      <c r="R1112" s="13" t="s">
        <v>43</v>
      </c>
      <c r="S1112" s="13"/>
      <c r="T1112" s="15">
        <v>2500</v>
      </c>
      <c r="U1112" s="13" t="s">
        <v>44</v>
      </c>
      <c r="V1112" s="13" t="s">
        <v>89</v>
      </c>
      <c r="W1112" s="12">
        <v>10</v>
      </c>
      <c r="X1112" s="33" t="str">
        <f>HYPERLINK("https://www.alpinabook.ru/catalog/book-obyknovennye-ubiytsy","ссылка на книгу")</f>
        <v>ссылка на книгу</v>
      </c>
      <c r="Y1112" s="34" t="str">
        <f>HYPERLINK("https://api-enni.alpina.ru/FilePrivilegesApproval/546","https://api-enni.alpina.ru/FilePrivilegesApproval/546")</f>
        <v>https://api-enni.alpina.ru/FilePrivilegesApproval/546</v>
      </c>
      <c r="Z1112" s="13"/>
      <c r="AT1112" s="1">
        <f t="shared" si="178"/>
        <v>0</v>
      </c>
      <c r="AU1112" s="1">
        <f t="shared" si="179"/>
        <v>0</v>
      </c>
      <c r="AV1112" s="1">
        <f t="shared" si="180"/>
        <v>0</v>
      </c>
      <c r="AW1112" s="1">
        <f t="shared" si="181"/>
        <v>0</v>
      </c>
      <c r="AX1112" s="1">
        <f t="shared" si="182"/>
        <v>0</v>
      </c>
    </row>
    <row r="1113" spans="1:50" s="1" customFormat="1" ht="24.95" customHeight="1" outlineLevel="3" x14ac:dyDescent="0.2">
      <c r="A1113" s="11"/>
      <c r="B1113" s="12">
        <v>690</v>
      </c>
      <c r="C1113" s="12">
        <v>990</v>
      </c>
      <c r="D1113" s="12">
        <v>11210</v>
      </c>
      <c r="E1113" s="13" t="s">
        <v>870</v>
      </c>
      <c r="F1113" s="13" t="s">
        <v>3678</v>
      </c>
      <c r="G1113" s="13" t="s">
        <v>56</v>
      </c>
      <c r="H1113" s="13" t="s">
        <v>40</v>
      </c>
      <c r="I1113" s="12">
        <v>2025</v>
      </c>
      <c r="J1113" s="13" t="s">
        <v>3679</v>
      </c>
      <c r="K1113" s="12">
        <v>9785961420968</v>
      </c>
      <c r="L1113" s="13" t="s">
        <v>3680</v>
      </c>
      <c r="M1113" s="12">
        <v>335</v>
      </c>
      <c r="N1113" s="14">
        <v>0.66</v>
      </c>
      <c r="O1113" s="12">
        <v>168</v>
      </c>
      <c r="P1113" s="12">
        <v>241</v>
      </c>
      <c r="Q1113" s="12">
        <v>6</v>
      </c>
      <c r="R1113" s="13" t="s">
        <v>94</v>
      </c>
      <c r="S1113" s="13"/>
      <c r="T1113" s="15">
        <v>3000</v>
      </c>
      <c r="U1113" s="13" t="s">
        <v>52</v>
      </c>
      <c r="V1113" s="13" t="s">
        <v>45</v>
      </c>
      <c r="W1113" s="12">
        <v>10</v>
      </c>
      <c r="X1113" s="33" t="str">
        <f>HYPERLINK("https://www.alpinabook.ru/catalog/book-predskazuemaya-irratsionalnost","ссылка на книгу")</f>
        <v>ссылка на книгу</v>
      </c>
      <c r="Y1113" s="34" t="str">
        <f>HYPERLINK("https://api-enni.alpina.ru/FilePrivilegesApproval/132","https://api-enni.alpina.ru/FilePrivilegesApproval/132")</f>
        <v>https://api-enni.alpina.ru/FilePrivilegesApproval/132</v>
      </c>
      <c r="Z1113" s="13"/>
      <c r="AT1113" s="1">
        <f t="shared" si="178"/>
        <v>0</v>
      </c>
      <c r="AU1113" s="1">
        <f t="shared" si="179"/>
        <v>0</v>
      </c>
      <c r="AV1113" s="1">
        <f t="shared" si="180"/>
        <v>0</v>
      </c>
      <c r="AW1113" s="1">
        <f t="shared" si="181"/>
        <v>0</v>
      </c>
      <c r="AX1113" s="1">
        <f t="shared" si="182"/>
        <v>0</v>
      </c>
    </row>
    <row r="1114" spans="1:50" s="1" customFormat="1" ht="24.95" customHeight="1" outlineLevel="3" x14ac:dyDescent="0.2">
      <c r="A1114" s="11"/>
      <c r="B1114" s="12">
        <v>480</v>
      </c>
      <c r="C1114" s="12">
        <v>740</v>
      </c>
      <c r="D1114" s="12">
        <v>27584</v>
      </c>
      <c r="E1114" s="13" t="s">
        <v>3681</v>
      </c>
      <c r="F1114" s="13" t="s">
        <v>3682</v>
      </c>
      <c r="G1114" s="13" t="s">
        <v>56</v>
      </c>
      <c r="H1114" s="13" t="s">
        <v>3683</v>
      </c>
      <c r="I1114" s="12">
        <v>2024</v>
      </c>
      <c r="J1114" s="13" t="s">
        <v>3684</v>
      </c>
      <c r="K1114" s="12">
        <v>9785961485769</v>
      </c>
      <c r="L1114" s="13" t="s">
        <v>3685</v>
      </c>
      <c r="M1114" s="12">
        <v>176</v>
      </c>
      <c r="N1114" s="14">
        <v>0.27</v>
      </c>
      <c r="O1114" s="12">
        <v>210</v>
      </c>
      <c r="P1114" s="12">
        <v>140</v>
      </c>
      <c r="Q1114" s="12">
        <v>6</v>
      </c>
      <c r="R1114" s="13" t="s">
        <v>82</v>
      </c>
      <c r="S1114" s="13"/>
      <c r="T1114" s="15">
        <v>1000</v>
      </c>
      <c r="U1114" s="13" t="s">
        <v>52</v>
      </c>
      <c r="V1114" s="13" t="s">
        <v>45</v>
      </c>
      <c r="W1114" s="12">
        <v>10</v>
      </c>
      <c r="X1114" s="33" t="str">
        <f>HYPERLINK("https://www.alpinabook.ru/catalog/book-reportazh-s-petley-na-shee","ссылка на книгу")</f>
        <v>ссылка на книгу</v>
      </c>
      <c r="Y1114" s="34" t="str">
        <f>HYPERLINK("https://api-enni.alpina.ru/FilePrivilegesApproval/221","https://api-enni.alpina.ru/FilePrivilegesApproval/221")</f>
        <v>https://api-enni.alpina.ru/FilePrivilegesApproval/221</v>
      </c>
      <c r="Z1114" s="13"/>
      <c r="AT1114" s="1">
        <f t="shared" si="178"/>
        <v>0</v>
      </c>
      <c r="AU1114" s="1">
        <f t="shared" si="179"/>
        <v>0</v>
      </c>
      <c r="AV1114" s="1">
        <f t="shared" si="180"/>
        <v>0</v>
      </c>
      <c r="AW1114" s="1">
        <f t="shared" si="181"/>
        <v>0</v>
      </c>
      <c r="AX1114" s="1">
        <f t="shared" si="182"/>
        <v>0</v>
      </c>
    </row>
    <row r="1115" spans="1:50" s="1" customFormat="1" ht="24.95" customHeight="1" outlineLevel="3" x14ac:dyDescent="0.2">
      <c r="A1115" s="11"/>
      <c r="B1115" s="12">
        <v>690</v>
      </c>
      <c r="C1115" s="12">
        <v>690</v>
      </c>
      <c r="D1115" s="12">
        <v>23875</v>
      </c>
      <c r="E1115" s="13" t="s">
        <v>3686</v>
      </c>
      <c r="F1115" s="13" t="s">
        <v>3687</v>
      </c>
      <c r="G1115" s="13" t="s">
        <v>97</v>
      </c>
      <c r="H1115" s="13"/>
      <c r="I1115" s="12">
        <v>2022</v>
      </c>
      <c r="J1115" s="13" t="s">
        <v>3688</v>
      </c>
      <c r="K1115" s="12">
        <v>9785907470255</v>
      </c>
      <c r="L1115" s="13" t="s">
        <v>3689</v>
      </c>
      <c r="M1115" s="12">
        <v>240</v>
      </c>
      <c r="N1115" s="14">
        <v>0.4</v>
      </c>
      <c r="O1115" s="12">
        <v>146</v>
      </c>
      <c r="P1115" s="12">
        <v>216</v>
      </c>
      <c r="Q1115" s="12">
        <v>10</v>
      </c>
      <c r="R1115" s="13" t="s">
        <v>43</v>
      </c>
      <c r="S1115" s="13"/>
      <c r="T1115" s="15">
        <v>1500</v>
      </c>
      <c r="U1115" s="13" t="s">
        <v>52</v>
      </c>
      <c r="V1115" s="13" t="s">
        <v>59</v>
      </c>
      <c r="W1115" s="12">
        <v>10</v>
      </c>
      <c r="X1115" s="33" t="str">
        <f>HYPERLINK("https://www.alpinabook.ru/catalog/book-sotsialnoe-neravenstvo","ссылка на книгу")</f>
        <v>ссылка на книгу</v>
      </c>
      <c r="Y1115" s="34" t="str">
        <f>HYPERLINK("https://api-enni.alpina.ru/FilePrivilegesApproval/129","https://api-enni.alpina.ru/FilePrivilegesApproval/129")</f>
        <v>https://api-enni.alpina.ru/FilePrivilegesApproval/129</v>
      </c>
      <c r="Z1115" s="13"/>
      <c r="AT1115" s="1">
        <f t="shared" si="178"/>
        <v>0</v>
      </c>
      <c r="AU1115" s="1">
        <f t="shared" si="179"/>
        <v>0</v>
      </c>
      <c r="AV1115" s="1">
        <f t="shared" si="180"/>
        <v>0</v>
      </c>
      <c r="AW1115" s="1">
        <f t="shared" si="181"/>
        <v>0</v>
      </c>
      <c r="AX1115" s="1">
        <f t="shared" si="182"/>
        <v>0</v>
      </c>
    </row>
    <row r="1116" spans="1:50" s="1" customFormat="1" ht="24.95" customHeight="1" outlineLevel="3" x14ac:dyDescent="0.2">
      <c r="A1116" s="11"/>
      <c r="B1116" s="12">
        <v>690</v>
      </c>
      <c r="C1116" s="12">
        <v>990</v>
      </c>
      <c r="D1116" s="12">
        <v>5027</v>
      </c>
      <c r="E1116" s="13" t="s">
        <v>3690</v>
      </c>
      <c r="F1116" s="13" t="s">
        <v>3691</v>
      </c>
      <c r="G1116" s="13" t="s">
        <v>56</v>
      </c>
      <c r="H1116" s="13" t="s">
        <v>40</v>
      </c>
      <c r="I1116" s="12">
        <v>2025</v>
      </c>
      <c r="J1116" s="13" t="s">
        <v>3692</v>
      </c>
      <c r="K1116" s="12">
        <v>9785961470185</v>
      </c>
      <c r="L1116" s="13" t="s">
        <v>3693</v>
      </c>
      <c r="M1116" s="12">
        <v>288</v>
      </c>
      <c r="N1116" s="14">
        <v>0.45</v>
      </c>
      <c r="O1116" s="12">
        <v>150</v>
      </c>
      <c r="P1116" s="12">
        <v>220</v>
      </c>
      <c r="Q1116" s="12">
        <v>14</v>
      </c>
      <c r="R1116" s="13" t="s">
        <v>43</v>
      </c>
      <c r="S1116" s="13"/>
      <c r="T1116" s="15">
        <v>2000</v>
      </c>
      <c r="U1116" s="13" t="s">
        <v>52</v>
      </c>
      <c r="V1116" s="13" t="s">
        <v>64</v>
      </c>
      <c r="W1116" s="12">
        <v>10</v>
      </c>
      <c r="X1116" s="33" t="str">
        <f>HYPERLINK("https://www.alpinabook.ru/catalog/book-sreda-obitaniya","ссылка на книгу")</f>
        <v>ссылка на книгу</v>
      </c>
      <c r="Y1116" s="34" t="str">
        <f>HYPERLINK("https://api-enni.alpina.ru/FilePrivilegesApproval/2","https://api-enni.alpina.ru/FilePrivilegesApproval/2")</f>
        <v>https://api-enni.alpina.ru/FilePrivilegesApproval/2</v>
      </c>
      <c r="Z1116" s="13"/>
      <c r="AT1116" s="1">
        <f t="shared" si="178"/>
        <v>0</v>
      </c>
      <c r="AU1116" s="1">
        <f t="shared" si="179"/>
        <v>0</v>
      </c>
      <c r="AV1116" s="1">
        <f t="shared" si="180"/>
        <v>0</v>
      </c>
      <c r="AW1116" s="1">
        <f t="shared" si="181"/>
        <v>0</v>
      </c>
      <c r="AX1116" s="1">
        <f t="shared" si="182"/>
        <v>0</v>
      </c>
    </row>
    <row r="1117" spans="1:50" s="1" customFormat="1" ht="24.95" customHeight="1" outlineLevel="3" x14ac:dyDescent="0.2">
      <c r="A1117" s="11"/>
      <c r="B1117" s="12">
        <v>590</v>
      </c>
      <c r="C1117" s="12">
        <v>590</v>
      </c>
      <c r="D1117" s="12">
        <v>17807</v>
      </c>
      <c r="E1117" s="13" t="s">
        <v>2705</v>
      </c>
      <c r="F1117" s="13" t="s">
        <v>3694</v>
      </c>
      <c r="G1117" s="13" t="s">
        <v>56</v>
      </c>
      <c r="H1117" s="13" t="s">
        <v>40</v>
      </c>
      <c r="I1117" s="12">
        <v>2022</v>
      </c>
      <c r="J1117" s="13" t="s">
        <v>3695</v>
      </c>
      <c r="K1117" s="12">
        <v>9785961474664</v>
      </c>
      <c r="L1117" s="13" t="s">
        <v>3696</v>
      </c>
      <c r="M1117" s="12">
        <v>220</v>
      </c>
      <c r="N1117" s="14">
        <v>0.28999999999999998</v>
      </c>
      <c r="O1117" s="12">
        <v>150</v>
      </c>
      <c r="P1117" s="12">
        <v>220</v>
      </c>
      <c r="Q1117" s="12">
        <v>14</v>
      </c>
      <c r="R1117" s="13" t="s">
        <v>43</v>
      </c>
      <c r="S1117" s="13"/>
      <c r="T1117" s="15">
        <v>2000</v>
      </c>
      <c r="U1117" s="13" t="s">
        <v>44</v>
      </c>
      <c r="V1117" s="13" t="s">
        <v>269</v>
      </c>
      <c r="W1117" s="12">
        <v>10</v>
      </c>
      <c r="X1117" s="33" t="str">
        <f>HYPERLINK("https://www.alpinabook.ru/catalog/book-temnaya-storona-izobiliya","ссылка на книгу")</f>
        <v>ссылка на книгу</v>
      </c>
      <c r="Y1117" s="34" t="str">
        <f>HYPERLINK("https://api-enni.alpina.ru/FilePrivilegesApproval/122","https://api-enni.alpina.ru/FilePrivilegesApproval/122")</f>
        <v>https://api-enni.alpina.ru/FilePrivilegesApproval/122</v>
      </c>
      <c r="Z1117" s="13"/>
      <c r="AT1117" s="1">
        <f t="shared" si="178"/>
        <v>0</v>
      </c>
      <c r="AU1117" s="1">
        <f t="shared" si="179"/>
        <v>0</v>
      </c>
      <c r="AV1117" s="1">
        <f t="shared" si="180"/>
        <v>0</v>
      </c>
      <c r="AW1117" s="1">
        <f t="shared" si="181"/>
        <v>0</v>
      </c>
      <c r="AX1117" s="1">
        <f t="shared" si="182"/>
        <v>0</v>
      </c>
    </row>
    <row r="1118" spans="1:50" s="1" customFormat="1" ht="24.95" customHeight="1" outlineLevel="3" x14ac:dyDescent="0.2">
      <c r="A1118" s="11"/>
      <c r="B1118" s="12">
        <v>340</v>
      </c>
      <c r="C1118" s="12">
        <v>540</v>
      </c>
      <c r="D1118" s="12">
        <v>28539</v>
      </c>
      <c r="E1118" s="13" t="s">
        <v>2941</v>
      </c>
      <c r="F1118" s="13" t="s">
        <v>3697</v>
      </c>
      <c r="G1118" s="13" t="s">
        <v>86</v>
      </c>
      <c r="H1118" s="13"/>
      <c r="I1118" s="12">
        <v>2023</v>
      </c>
      <c r="J1118" s="13" t="s">
        <v>3698</v>
      </c>
      <c r="K1118" s="12">
        <v>9785002230228</v>
      </c>
      <c r="L1118" s="13" t="s">
        <v>3699</v>
      </c>
      <c r="M1118" s="12">
        <v>464</v>
      </c>
      <c r="N1118" s="14">
        <v>0.3</v>
      </c>
      <c r="O1118" s="12">
        <v>120</v>
      </c>
      <c r="P1118" s="12">
        <v>170</v>
      </c>
      <c r="Q1118" s="12">
        <v>12</v>
      </c>
      <c r="R1118" s="13" t="s">
        <v>75</v>
      </c>
      <c r="S1118" s="13" t="s">
        <v>596</v>
      </c>
      <c r="T1118" s="15">
        <v>2000</v>
      </c>
      <c r="U1118" s="13" t="s">
        <v>44</v>
      </c>
      <c r="V1118" s="13" t="s">
        <v>45</v>
      </c>
      <c r="W1118" s="12">
        <v>10</v>
      </c>
      <c r="X1118" s="33" t="str">
        <f>HYPERLINK("https://www.alpinabook.ru/catalog/book-uchenye-skryvayut","ссылка на книгу")</f>
        <v>ссылка на книгу</v>
      </c>
      <c r="Y1118" s="34" t="str">
        <f>HYPERLINK("https://api-enni.alpina.ru/FilePrivilegesApproval/148","https://api-enni.alpina.ru/FilePrivilegesApproval/148")</f>
        <v>https://api-enni.alpina.ru/FilePrivilegesApproval/148</v>
      </c>
      <c r="Z1118" s="13"/>
      <c r="AT1118" s="1">
        <f t="shared" si="178"/>
        <v>0</v>
      </c>
      <c r="AU1118" s="1">
        <f t="shared" si="179"/>
        <v>0</v>
      </c>
      <c r="AV1118" s="1">
        <f t="shared" si="180"/>
        <v>0</v>
      </c>
      <c r="AW1118" s="1">
        <f t="shared" si="181"/>
        <v>0</v>
      </c>
      <c r="AX1118" s="1">
        <f t="shared" si="182"/>
        <v>0</v>
      </c>
    </row>
    <row r="1119" spans="1:50" s="1" customFormat="1" ht="24.95" customHeight="1" outlineLevel="3" x14ac:dyDescent="0.2">
      <c r="A1119" s="11"/>
      <c r="B1119" s="12">
        <v>530</v>
      </c>
      <c r="C1119" s="12">
        <v>790</v>
      </c>
      <c r="D1119" s="12">
        <v>5218</v>
      </c>
      <c r="E1119" s="13" t="s">
        <v>3700</v>
      </c>
      <c r="F1119" s="13" t="s">
        <v>3701</v>
      </c>
      <c r="G1119" s="13" t="s">
        <v>97</v>
      </c>
      <c r="H1119" s="13" t="s">
        <v>40</v>
      </c>
      <c r="I1119" s="12">
        <v>2025</v>
      </c>
      <c r="J1119" s="13" t="s">
        <v>3702</v>
      </c>
      <c r="K1119" s="12">
        <v>9785604287934</v>
      </c>
      <c r="L1119" s="13" t="s">
        <v>3703</v>
      </c>
      <c r="M1119" s="12">
        <v>206</v>
      </c>
      <c r="N1119" s="14">
        <v>0.3</v>
      </c>
      <c r="O1119" s="12">
        <v>130</v>
      </c>
      <c r="P1119" s="12">
        <v>206</v>
      </c>
      <c r="Q1119" s="12">
        <v>10</v>
      </c>
      <c r="R1119" s="13" t="s">
        <v>82</v>
      </c>
      <c r="S1119" s="13"/>
      <c r="T1119" s="15">
        <v>1000</v>
      </c>
      <c r="U1119" s="13" t="s">
        <v>52</v>
      </c>
      <c r="V1119" s="13" t="s">
        <v>64</v>
      </c>
      <c r="W1119" s="12">
        <v>10</v>
      </c>
      <c r="X1119" s="33" t="str">
        <f>HYPERLINK("https://www.alpinabook.ru/catalog/book-chelovek-ubezhdennyy","ссылка на книгу")</f>
        <v>ссылка на книгу</v>
      </c>
      <c r="Y1119" s="34" t="str">
        <f>HYPERLINK("https://api-enni.alpina.ru/FilePrivilegesApproval/154","https://api-enni.alpina.ru/FilePrivilegesApproval/154")</f>
        <v>https://api-enni.alpina.ru/FilePrivilegesApproval/154</v>
      </c>
      <c r="Z1119" s="13" t="s">
        <v>3704</v>
      </c>
      <c r="AT1119" s="1">
        <f t="shared" si="178"/>
        <v>0</v>
      </c>
      <c r="AU1119" s="1">
        <f t="shared" si="179"/>
        <v>0</v>
      </c>
      <c r="AV1119" s="1">
        <f t="shared" si="180"/>
        <v>0</v>
      </c>
      <c r="AW1119" s="1">
        <f t="shared" si="181"/>
        <v>0</v>
      </c>
      <c r="AX1119" s="1">
        <f t="shared" si="182"/>
        <v>0</v>
      </c>
    </row>
    <row r="1120" spans="1:50" s="1" customFormat="1" ht="24.95" customHeight="1" outlineLevel="3" x14ac:dyDescent="0.2">
      <c r="A1120" s="11"/>
      <c r="B1120" s="12">
        <v>430</v>
      </c>
      <c r="C1120" s="12">
        <v>430</v>
      </c>
      <c r="D1120" s="12">
        <v>4303</v>
      </c>
      <c r="E1120" s="13" t="s">
        <v>3705</v>
      </c>
      <c r="F1120" s="13" t="s">
        <v>3706</v>
      </c>
      <c r="G1120" s="13" t="s">
        <v>56</v>
      </c>
      <c r="H1120" s="13" t="s">
        <v>40</v>
      </c>
      <c r="I1120" s="11"/>
      <c r="J1120" s="13" t="s">
        <v>3707</v>
      </c>
      <c r="K1120" s="12">
        <v>9785961450378</v>
      </c>
      <c r="L1120" s="13" t="s">
        <v>3708</v>
      </c>
      <c r="M1120" s="12">
        <v>112</v>
      </c>
      <c r="N1120" s="14">
        <v>0.16</v>
      </c>
      <c r="O1120" s="12">
        <v>141</v>
      </c>
      <c r="P1120" s="12">
        <v>210</v>
      </c>
      <c r="Q1120" s="12">
        <v>16</v>
      </c>
      <c r="R1120" s="13" t="s">
        <v>43</v>
      </c>
      <c r="S1120" s="13"/>
      <c r="T1120" s="15">
        <v>2000</v>
      </c>
      <c r="U1120" s="13" t="s">
        <v>44</v>
      </c>
      <c r="V1120" s="13" t="s">
        <v>64</v>
      </c>
      <c r="W1120" s="12">
        <v>10</v>
      </c>
      <c r="X1120" s="33" t="str">
        <f>HYPERLINK("https://www.alpinabook.ru/catalog/book-8410","ссылка на книгу")</f>
        <v>ссылка на книгу</v>
      </c>
      <c r="Y1120" s="34" t="str">
        <f>HYPERLINK("https://api-enni.alpina.ru/FilePrivilegesApproval/2","https://api-enni.alpina.ru/FilePrivilegesApproval/2")</f>
        <v>https://api-enni.alpina.ru/FilePrivilegesApproval/2</v>
      </c>
      <c r="Z1120" s="13"/>
      <c r="AT1120" s="1">
        <f t="shared" si="178"/>
        <v>0</v>
      </c>
      <c r="AU1120" s="1">
        <f t="shared" si="179"/>
        <v>0</v>
      </c>
      <c r="AV1120" s="1">
        <f t="shared" si="180"/>
        <v>0</v>
      </c>
      <c r="AW1120" s="1">
        <f t="shared" si="181"/>
        <v>0</v>
      </c>
      <c r="AX1120" s="1">
        <f t="shared" si="182"/>
        <v>0</v>
      </c>
    </row>
    <row r="1121" spans="1:50" ht="11.1" customHeight="1" outlineLevel="2" x14ac:dyDescent="0.2">
      <c r="A1121" s="40" t="s">
        <v>3709</v>
      </c>
      <c r="B1121" s="40"/>
      <c r="C1121" s="40"/>
      <c r="D1121" s="40"/>
      <c r="E1121" s="40"/>
      <c r="F1121" s="40"/>
      <c r="G1121" s="40"/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20"/>
    </row>
    <row r="1122" spans="1:50" s="1" customFormat="1" ht="24.95" customHeight="1" outlineLevel="3" x14ac:dyDescent="0.2">
      <c r="A1122" s="11"/>
      <c r="B1122" s="12">
        <v>790</v>
      </c>
      <c r="C1122" s="15">
        <v>1190</v>
      </c>
      <c r="D1122" s="12">
        <v>32339</v>
      </c>
      <c r="E1122" s="13" t="s">
        <v>3710</v>
      </c>
      <c r="F1122" s="13" t="s">
        <v>3711</v>
      </c>
      <c r="G1122" s="13" t="s">
        <v>97</v>
      </c>
      <c r="H1122" s="13"/>
      <c r="I1122" s="12">
        <v>2025</v>
      </c>
      <c r="J1122" s="13" t="s">
        <v>3712</v>
      </c>
      <c r="K1122" s="12">
        <v>9785206004243</v>
      </c>
      <c r="L1122" s="13" t="s">
        <v>3713</v>
      </c>
      <c r="M1122" s="12">
        <v>168</v>
      </c>
      <c r="N1122" s="14">
        <v>0.31</v>
      </c>
      <c r="O1122" s="12">
        <v>150</v>
      </c>
      <c r="P1122" s="12">
        <v>220</v>
      </c>
      <c r="Q1122" s="12">
        <v>10</v>
      </c>
      <c r="R1122" s="13" t="s">
        <v>43</v>
      </c>
      <c r="S1122" s="13"/>
      <c r="T1122" s="15">
        <v>1000</v>
      </c>
      <c r="U1122" s="13" t="s">
        <v>52</v>
      </c>
      <c r="V1122" s="13" t="s">
        <v>45</v>
      </c>
      <c r="W1122" s="12">
        <v>10</v>
      </c>
      <c r="X1122" s="33" t="str">
        <f>HYPERLINK("https://www.alpinabook.ru/catalog/book-gravitatsiya-strategii-i-taktiki","ссылка на книгу")</f>
        <v>ссылка на книгу</v>
      </c>
      <c r="Y1122" s="34" t="str">
        <f>HYPERLINK("https://api-enni.alpina.ru/FilePrivilegesApproval/735","https://api-enni.alpina.ru/FilePrivilegesApproval/735")</f>
        <v>https://api-enni.alpina.ru/FilePrivilegesApproval/735</v>
      </c>
      <c r="Z1122" s="13"/>
      <c r="AT1122" s="1">
        <f t="shared" ref="AT1122:AT1143" si="183">IF($A1122&lt;&gt;0,1,0)</f>
        <v>0</v>
      </c>
      <c r="AU1122" s="1">
        <f t="shared" ref="AU1122:AU1143" si="184">$A1122*$B1122</f>
        <v>0</v>
      </c>
      <c r="AV1122" s="1">
        <f t="shared" ref="AV1122:AV1143" si="185">$A1122*$N1122</f>
        <v>0</v>
      </c>
      <c r="AW1122" s="1">
        <f t="shared" ref="AW1122:AW1143" si="186">IF($Q1122=0,0,INT($A1122/$Q1122))</f>
        <v>0</v>
      </c>
      <c r="AX1122" s="1">
        <f t="shared" ref="AX1122:AX1143" si="187">$A1122-$AW1122*$Q1122</f>
        <v>0</v>
      </c>
    </row>
    <row r="1123" spans="1:50" s="1" customFormat="1" ht="24.95" customHeight="1" outlineLevel="3" x14ac:dyDescent="0.2">
      <c r="A1123" s="11"/>
      <c r="B1123" s="12">
        <v>530</v>
      </c>
      <c r="C1123" s="12">
        <v>790</v>
      </c>
      <c r="D1123" s="12">
        <v>3057</v>
      </c>
      <c r="E1123" s="13" t="s">
        <v>3623</v>
      </c>
      <c r="F1123" s="13" t="s">
        <v>3714</v>
      </c>
      <c r="G1123" s="13" t="s">
        <v>97</v>
      </c>
      <c r="H1123" s="13" t="s">
        <v>40</v>
      </c>
      <c r="I1123" s="12">
        <v>2012</v>
      </c>
      <c r="J1123" s="13" t="s">
        <v>3715</v>
      </c>
      <c r="K1123" s="12">
        <v>9785961419276</v>
      </c>
      <c r="L1123" s="13" t="s">
        <v>3716</v>
      </c>
      <c r="M1123" s="12">
        <v>296</v>
      </c>
      <c r="N1123" s="14">
        <v>0.48</v>
      </c>
      <c r="O1123" s="12">
        <v>153</v>
      </c>
      <c r="P1123" s="12">
        <v>216</v>
      </c>
      <c r="Q1123" s="12">
        <v>12</v>
      </c>
      <c r="R1123" s="13" t="s">
        <v>43</v>
      </c>
      <c r="S1123" s="13"/>
      <c r="T1123" s="15">
        <v>1000</v>
      </c>
      <c r="U1123" s="13" t="s">
        <v>52</v>
      </c>
      <c r="V1123" s="13" t="s">
        <v>64</v>
      </c>
      <c r="W1123" s="12">
        <v>10</v>
      </c>
      <c r="X1123" s="33" t="str">
        <f>HYPERLINK("https://www.alpinabook.ru/catalog/book-7403","ссылка на книгу")</f>
        <v>ссылка на книгу</v>
      </c>
      <c r="Y1123" s="34" t="str">
        <f>HYPERLINK("https://api-enni.alpina.ru/FilePrivilegesApproval/505","https://api-enni.alpina.ru/FilePrivilegesApproval/505")</f>
        <v>https://api-enni.alpina.ru/FilePrivilegesApproval/505</v>
      </c>
      <c r="Z1123" s="13"/>
      <c r="AT1123" s="1">
        <f t="shared" si="183"/>
        <v>0</v>
      </c>
      <c r="AU1123" s="1">
        <f t="shared" si="184"/>
        <v>0</v>
      </c>
      <c r="AV1123" s="1">
        <f t="shared" si="185"/>
        <v>0</v>
      </c>
      <c r="AW1123" s="1">
        <f t="shared" si="186"/>
        <v>0</v>
      </c>
      <c r="AX1123" s="1">
        <f t="shared" si="187"/>
        <v>0</v>
      </c>
    </row>
    <row r="1124" spans="1:50" s="1" customFormat="1" ht="24.95" customHeight="1" outlineLevel="3" x14ac:dyDescent="0.2">
      <c r="A1124" s="11"/>
      <c r="B1124" s="12">
        <v>590</v>
      </c>
      <c r="C1124" s="12">
        <v>840</v>
      </c>
      <c r="D1124" s="12">
        <v>26604</v>
      </c>
      <c r="E1124" s="13" t="s">
        <v>3185</v>
      </c>
      <c r="F1124" s="13" t="s">
        <v>3717</v>
      </c>
      <c r="G1124" s="13" t="s">
        <v>56</v>
      </c>
      <c r="H1124" s="13"/>
      <c r="I1124" s="12">
        <v>2025</v>
      </c>
      <c r="J1124" s="13" t="s">
        <v>3718</v>
      </c>
      <c r="K1124" s="12">
        <v>9785961481426</v>
      </c>
      <c r="L1124" s="13" t="s">
        <v>3719</v>
      </c>
      <c r="M1124" s="12">
        <v>318</v>
      </c>
      <c r="N1124" s="14">
        <v>0.49</v>
      </c>
      <c r="O1124" s="12">
        <v>150</v>
      </c>
      <c r="P1124" s="12">
        <v>220</v>
      </c>
      <c r="Q1124" s="12">
        <v>12</v>
      </c>
      <c r="R1124" s="13" t="s">
        <v>43</v>
      </c>
      <c r="S1124" s="13"/>
      <c r="T1124" s="15">
        <v>5000</v>
      </c>
      <c r="U1124" s="13" t="s">
        <v>52</v>
      </c>
      <c r="V1124" s="13" t="s">
        <v>45</v>
      </c>
      <c r="W1124" s="12">
        <v>10</v>
      </c>
      <c r="X1124" s="33" t="str">
        <f>HYPERLINK("https://www.alpinabook.ru/catalog/book-amerikantsy-i-vse-ostalnye","ссылка на книгу")</f>
        <v>ссылка на книгу</v>
      </c>
      <c r="Y1124" s="34" t="str">
        <f>HYPERLINK("https://api-enni.alpina.ru/FilePrivilegesApproval/376","https://api-enni.alpina.ru/FilePrivilegesApproval/376")</f>
        <v>https://api-enni.alpina.ru/FilePrivilegesApproval/376</v>
      </c>
      <c r="Z1124" s="13" t="s">
        <v>1704</v>
      </c>
      <c r="AT1124" s="1">
        <f t="shared" si="183"/>
        <v>0</v>
      </c>
      <c r="AU1124" s="1">
        <f t="shared" si="184"/>
        <v>0</v>
      </c>
      <c r="AV1124" s="1">
        <f t="shared" si="185"/>
        <v>0</v>
      </c>
      <c r="AW1124" s="1">
        <f t="shared" si="186"/>
        <v>0</v>
      </c>
      <c r="AX1124" s="1">
        <f t="shared" si="187"/>
        <v>0</v>
      </c>
    </row>
    <row r="1125" spans="1:50" s="1" customFormat="1" ht="24.95" customHeight="1" outlineLevel="3" x14ac:dyDescent="0.2">
      <c r="A1125" s="11"/>
      <c r="B1125" s="12">
        <v>690</v>
      </c>
      <c r="C1125" s="12">
        <v>990</v>
      </c>
      <c r="D1125" s="12">
        <v>17185</v>
      </c>
      <c r="E1125" s="13" t="s">
        <v>2324</v>
      </c>
      <c r="F1125" s="13" t="s">
        <v>3720</v>
      </c>
      <c r="G1125" s="13" t="s">
        <v>56</v>
      </c>
      <c r="H1125" s="13"/>
      <c r="I1125" s="12">
        <v>2021</v>
      </c>
      <c r="J1125" s="13" t="s">
        <v>3721</v>
      </c>
      <c r="K1125" s="12">
        <v>9785961439830</v>
      </c>
      <c r="L1125" s="13" t="s">
        <v>3722</v>
      </c>
      <c r="M1125" s="12">
        <v>422</v>
      </c>
      <c r="N1125" s="14">
        <v>0.59</v>
      </c>
      <c r="O1125" s="12">
        <v>146</v>
      </c>
      <c r="P1125" s="12">
        <v>216</v>
      </c>
      <c r="Q1125" s="12">
        <v>10</v>
      </c>
      <c r="R1125" s="13" t="s">
        <v>43</v>
      </c>
      <c r="S1125" s="13"/>
      <c r="T1125" s="15">
        <v>15000</v>
      </c>
      <c r="U1125" s="13" t="s">
        <v>52</v>
      </c>
      <c r="V1125" s="13" t="s">
        <v>89</v>
      </c>
      <c r="W1125" s="12">
        <v>10</v>
      </c>
      <c r="X1125" s="33" t="str">
        <f>HYPERLINK("https://www.alpinabook.ru/catalog/book-667957","ссылка на книгу")</f>
        <v>ссылка на книгу</v>
      </c>
      <c r="Y1125" s="34" t="str">
        <f>HYPERLINK("https://api-enni.alpina.ru/FilePrivilegesApproval/107","https://api-enni.alpina.ru/FilePrivilegesApproval/107")</f>
        <v>https://api-enni.alpina.ru/FilePrivilegesApproval/107</v>
      </c>
      <c r="Z1125" s="13"/>
      <c r="AT1125" s="1">
        <f t="shared" si="183"/>
        <v>0</v>
      </c>
      <c r="AU1125" s="1">
        <f t="shared" si="184"/>
        <v>0</v>
      </c>
      <c r="AV1125" s="1">
        <f t="shared" si="185"/>
        <v>0</v>
      </c>
      <c r="AW1125" s="1">
        <f t="shared" si="186"/>
        <v>0</v>
      </c>
      <c r="AX1125" s="1">
        <f t="shared" si="187"/>
        <v>0</v>
      </c>
    </row>
    <row r="1126" spans="1:50" s="1" customFormat="1" ht="24.95" customHeight="1" outlineLevel="3" x14ac:dyDescent="0.2">
      <c r="A1126" s="11"/>
      <c r="B1126" s="12">
        <v>890</v>
      </c>
      <c r="C1126" s="15">
        <v>1390</v>
      </c>
      <c r="D1126" s="12">
        <v>27750</v>
      </c>
      <c r="E1126" s="13" t="s">
        <v>3723</v>
      </c>
      <c r="F1126" s="13" t="s">
        <v>3724</v>
      </c>
      <c r="G1126" s="13" t="s">
        <v>86</v>
      </c>
      <c r="H1126" s="13" t="s">
        <v>40</v>
      </c>
      <c r="I1126" s="12">
        <v>2025</v>
      </c>
      <c r="J1126" s="13" t="s">
        <v>3725</v>
      </c>
      <c r="K1126" s="12">
        <v>9785001399551</v>
      </c>
      <c r="L1126" s="13" t="s">
        <v>3726</v>
      </c>
      <c r="M1126" s="12">
        <v>868</v>
      </c>
      <c r="N1126" s="14">
        <v>1.02</v>
      </c>
      <c r="O1126" s="12">
        <v>170</v>
      </c>
      <c r="P1126" s="12">
        <v>240</v>
      </c>
      <c r="Q1126" s="12">
        <v>3</v>
      </c>
      <c r="R1126" s="13" t="s">
        <v>94</v>
      </c>
      <c r="S1126" s="13"/>
      <c r="T1126" s="15">
        <v>1500</v>
      </c>
      <c r="U1126" s="13" t="s">
        <v>44</v>
      </c>
      <c r="V1126" s="13" t="s">
        <v>45</v>
      </c>
      <c r="W1126" s="12">
        <v>10</v>
      </c>
      <c r="X1126" s="33" t="str">
        <f>HYPERLINK("https://www.alpinabook.ru/catalog/book-vetnam","ссылка на книгу")</f>
        <v>ссылка на книгу</v>
      </c>
      <c r="Y1126" s="34" t="str">
        <f>HYPERLINK("https://api-enni.alpina.ru/FilePrivilegesApproval/149","https://api-enni.alpina.ru/FilePrivilegesApproval/149")</f>
        <v>https://api-enni.alpina.ru/FilePrivilegesApproval/149</v>
      </c>
      <c r="Z1126" s="13"/>
      <c r="AT1126" s="1">
        <f t="shared" si="183"/>
        <v>0</v>
      </c>
      <c r="AU1126" s="1">
        <f t="shared" si="184"/>
        <v>0</v>
      </c>
      <c r="AV1126" s="1">
        <f t="shared" si="185"/>
        <v>0</v>
      </c>
      <c r="AW1126" s="1">
        <f t="shared" si="186"/>
        <v>0</v>
      </c>
      <c r="AX1126" s="1">
        <f t="shared" si="187"/>
        <v>0</v>
      </c>
    </row>
    <row r="1127" spans="1:50" s="1" customFormat="1" ht="24.95" customHeight="1" outlineLevel="3" x14ac:dyDescent="0.2">
      <c r="A1127" s="11"/>
      <c r="B1127" s="12">
        <v>740</v>
      </c>
      <c r="C1127" s="15">
        <v>1190</v>
      </c>
      <c r="D1127" s="12">
        <v>28451</v>
      </c>
      <c r="E1127" s="13" t="s">
        <v>3727</v>
      </c>
      <c r="F1127" s="13" t="s">
        <v>3728</v>
      </c>
      <c r="G1127" s="13" t="s">
        <v>97</v>
      </c>
      <c r="H1127" s="13"/>
      <c r="I1127" s="12">
        <v>2023</v>
      </c>
      <c r="J1127" s="13" t="s">
        <v>3729</v>
      </c>
      <c r="K1127" s="12">
        <v>9785206002089</v>
      </c>
      <c r="L1127" s="13" t="s">
        <v>3730</v>
      </c>
      <c r="M1127" s="12">
        <v>173</v>
      </c>
      <c r="N1127" s="14">
        <v>0.57999999999999996</v>
      </c>
      <c r="O1127" s="12">
        <v>180</v>
      </c>
      <c r="P1127" s="12">
        <v>230</v>
      </c>
      <c r="Q1127" s="12">
        <v>8</v>
      </c>
      <c r="R1127" s="13" t="s">
        <v>100</v>
      </c>
      <c r="S1127" s="13"/>
      <c r="T1127" s="15">
        <v>2000</v>
      </c>
      <c r="U1127" s="13" t="s">
        <v>52</v>
      </c>
      <c r="V1127" s="13" t="s">
        <v>45</v>
      </c>
      <c r="W1127" s="12">
        <v>10</v>
      </c>
      <c r="X1127" s="33" t="str">
        <f>HYPERLINK("https://www.alpinabook.ru/catalog/book-grazhdanstvo-izrailya","ссылка на книгу")</f>
        <v>ссылка на книгу</v>
      </c>
      <c r="Y1127" s="34" t="str">
        <f>HYPERLINK("https://api-enni.alpina.ru/FilePrivilegesApproval/286","https://api-enni.alpina.ru/FilePrivilegesApproval/286")</f>
        <v>https://api-enni.alpina.ru/FilePrivilegesApproval/286</v>
      </c>
      <c r="Z1127" s="13"/>
      <c r="AT1127" s="1">
        <f t="shared" si="183"/>
        <v>0</v>
      </c>
      <c r="AU1127" s="1">
        <f t="shared" si="184"/>
        <v>0</v>
      </c>
      <c r="AV1127" s="1">
        <f t="shared" si="185"/>
        <v>0</v>
      </c>
      <c r="AW1127" s="1">
        <f t="shared" si="186"/>
        <v>0</v>
      </c>
      <c r="AX1127" s="1">
        <f t="shared" si="187"/>
        <v>0</v>
      </c>
    </row>
    <row r="1128" spans="1:50" s="1" customFormat="1" ht="24.95" customHeight="1" outlineLevel="3" x14ac:dyDescent="0.2">
      <c r="A1128" s="11"/>
      <c r="B1128" s="12">
        <v>590</v>
      </c>
      <c r="C1128" s="12">
        <v>840</v>
      </c>
      <c r="D1128" s="12">
        <v>28287</v>
      </c>
      <c r="E1128" s="13" t="s">
        <v>3731</v>
      </c>
      <c r="F1128" s="13" t="s">
        <v>3732</v>
      </c>
      <c r="G1128" s="13" t="s">
        <v>56</v>
      </c>
      <c r="H1128" s="13"/>
      <c r="I1128" s="12">
        <v>2024</v>
      </c>
      <c r="J1128" s="13" t="s">
        <v>3733</v>
      </c>
      <c r="K1128" s="12">
        <v>9785961487749</v>
      </c>
      <c r="L1128" s="13" t="s">
        <v>3734</v>
      </c>
      <c r="M1128" s="12">
        <v>470</v>
      </c>
      <c r="N1128" s="14">
        <v>0.56999999999999995</v>
      </c>
      <c r="O1128" s="12">
        <v>150</v>
      </c>
      <c r="P1128" s="12">
        <v>210</v>
      </c>
      <c r="Q1128" s="12">
        <v>5</v>
      </c>
      <c r="R1128" s="13" t="s">
        <v>43</v>
      </c>
      <c r="S1128" s="13"/>
      <c r="T1128" s="15">
        <v>1000</v>
      </c>
      <c r="U1128" s="13" t="s">
        <v>44</v>
      </c>
      <c r="V1128" s="13" t="s">
        <v>45</v>
      </c>
      <c r="W1128" s="12">
        <v>10</v>
      </c>
      <c r="X1128" s="33" t="str">
        <f>HYPERLINK("https://www.alpinabook.ru/catalog/book-zhestokaya-pamyat","ссылка на книгу")</f>
        <v>ссылка на книгу</v>
      </c>
      <c r="Y1128" s="34" t="str">
        <f>HYPERLINK("https://api-enni.alpina.ru/FilePrivilegesApproval/308","https://api-enni.alpina.ru/FilePrivilegesApproval/308")</f>
        <v>https://api-enni.alpina.ru/FilePrivilegesApproval/308</v>
      </c>
      <c r="Z1128" s="13"/>
      <c r="AT1128" s="1">
        <f t="shared" si="183"/>
        <v>0</v>
      </c>
      <c r="AU1128" s="1">
        <f t="shared" si="184"/>
        <v>0</v>
      </c>
      <c r="AV1128" s="1">
        <f t="shared" si="185"/>
        <v>0</v>
      </c>
      <c r="AW1128" s="1">
        <f t="shared" si="186"/>
        <v>0</v>
      </c>
      <c r="AX1128" s="1">
        <f t="shared" si="187"/>
        <v>0</v>
      </c>
    </row>
    <row r="1129" spans="1:50" s="1" customFormat="1" ht="24.95" customHeight="1" outlineLevel="3" x14ac:dyDescent="0.2">
      <c r="A1129" s="26"/>
      <c r="B1129" s="27">
        <v>990</v>
      </c>
      <c r="C1129" s="28">
        <v>1490</v>
      </c>
      <c r="D1129" s="27">
        <v>8469</v>
      </c>
      <c r="E1129" s="29" t="s">
        <v>3735</v>
      </c>
      <c r="F1129" s="29" t="s">
        <v>3736</v>
      </c>
      <c r="G1129" s="29" t="s">
        <v>56</v>
      </c>
      <c r="H1129" s="29" t="s">
        <v>40</v>
      </c>
      <c r="I1129" s="27">
        <v>2025</v>
      </c>
      <c r="J1129" s="29" t="s">
        <v>3737</v>
      </c>
      <c r="K1129" s="27">
        <v>9785961420890</v>
      </c>
      <c r="L1129" s="29" t="s">
        <v>3738</v>
      </c>
      <c r="M1129" s="27">
        <v>978</v>
      </c>
      <c r="N1129" s="30">
        <v>1.08</v>
      </c>
      <c r="O1129" s="27">
        <v>150</v>
      </c>
      <c r="P1129" s="27">
        <v>220</v>
      </c>
      <c r="Q1129" s="27">
        <v>3</v>
      </c>
      <c r="R1129" s="29" t="s">
        <v>43</v>
      </c>
      <c r="S1129" s="29"/>
      <c r="T1129" s="28">
        <v>1000</v>
      </c>
      <c r="U1129" s="29" t="s">
        <v>52</v>
      </c>
      <c r="V1129" s="29" t="s">
        <v>45</v>
      </c>
      <c r="W1129" s="27">
        <v>10</v>
      </c>
      <c r="X1129" s="37" t="str">
        <f>HYPERLINK("https://www.alpinabook.ru/catalog/book-zachem-ubili-dzhona-kennedi","ссылка на книгу")</f>
        <v>ссылка на книгу</v>
      </c>
      <c r="Y1129" s="38" t="str">
        <f>HYPERLINK("https://api-enni.alpina.ru/FilePrivilegesApproval/238","https://api-enni.alpina.ru/FilePrivilegesApproval/238")</f>
        <v>https://api-enni.alpina.ru/FilePrivilegesApproval/238</v>
      </c>
      <c r="Z1129" s="29" t="s">
        <v>847</v>
      </c>
      <c r="AT1129" s="1">
        <f t="shared" si="183"/>
        <v>0</v>
      </c>
      <c r="AU1129" s="1">
        <f t="shared" si="184"/>
        <v>0</v>
      </c>
      <c r="AV1129" s="1">
        <f t="shared" si="185"/>
        <v>0</v>
      </c>
      <c r="AW1129" s="1">
        <f t="shared" si="186"/>
        <v>0</v>
      </c>
      <c r="AX1129" s="1">
        <f t="shared" si="187"/>
        <v>0</v>
      </c>
    </row>
    <row r="1130" spans="1:50" s="1" customFormat="1" ht="24.95" customHeight="1" outlineLevel="3" x14ac:dyDescent="0.2">
      <c r="A1130" s="26"/>
      <c r="B1130" s="27">
        <v>690</v>
      </c>
      <c r="C1130" s="27">
        <v>990</v>
      </c>
      <c r="D1130" s="27">
        <v>11982</v>
      </c>
      <c r="E1130" s="29" t="s">
        <v>3739</v>
      </c>
      <c r="F1130" s="29" t="s">
        <v>3740</v>
      </c>
      <c r="G1130" s="29" t="s">
        <v>56</v>
      </c>
      <c r="H1130" s="29" t="s">
        <v>40</v>
      </c>
      <c r="I1130" s="27">
        <v>2024</v>
      </c>
      <c r="J1130" s="29" t="s">
        <v>3741</v>
      </c>
      <c r="K1130" s="27">
        <v>9785961426663</v>
      </c>
      <c r="L1130" s="29" t="s">
        <v>3742</v>
      </c>
      <c r="M1130" s="27">
        <v>256</v>
      </c>
      <c r="N1130" s="30">
        <v>0.41</v>
      </c>
      <c r="O1130" s="27">
        <v>150</v>
      </c>
      <c r="P1130" s="27">
        <v>220</v>
      </c>
      <c r="Q1130" s="27">
        <v>6</v>
      </c>
      <c r="R1130" s="29" t="s">
        <v>43</v>
      </c>
      <c r="S1130" s="29"/>
      <c r="T1130" s="28">
        <v>1000</v>
      </c>
      <c r="U1130" s="29" t="s">
        <v>52</v>
      </c>
      <c r="V1130" s="29" t="s">
        <v>64</v>
      </c>
      <c r="W1130" s="27">
        <v>10</v>
      </c>
      <c r="X1130" s="37" t="str">
        <f>HYPERLINK("https://www.alpinabook.ru/catalog/book-identichnost","ссылка на книгу")</f>
        <v>ссылка на книгу</v>
      </c>
      <c r="Y1130" s="38" t="str">
        <f>HYPERLINK("https://api-enni.alpina.ru/FilePrivilegesApproval/264","https://api-enni.alpina.ru/FilePrivilegesApproval/264")</f>
        <v>https://api-enni.alpina.ru/FilePrivilegesApproval/264</v>
      </c>
      <c r="Z1130" s="29"/>
      <c r="AT1130" s="1">
        <f t="shared" si="183"/>
        <v>0</v>
      </c>
      <c r="AU1130" s="1">
        <f t="shared" si="184"/>
        <v>0</v>
      </c>
      <c r="AV1130" s="1">
        <f t="shared" si="185"/>
        <v>0</v>
      </c>
      <c r="AW1130" s="1">
        <f t="shared" si="186"/>
        <v>0</v>
      </c>
      <c r="AX1130" s="1">
        <f t="shared" si="187"/>
        <v>0</v>
      </c>
    </row>
    <row r="1131" spans="1:50" s="1" customFormat="1" ht="24.95" customHeight="1" outlineLevel="3" x14ac:dyDescent="0.2">
      <c r="A1131" s="26"/>
      <c r="B1131" s="27">
        <v>890</v>
      </c>
      <c r="C1131" s="28">
        <v>1290</v>
      </c>
      <c r="D1131" s="27">
        <v>28715</v>
      </c>
      <c r="E1131" s="29" t="s">
        <v>3743</v>
      </c>
      <c r="F1131" s="29" t="s">
        <v>3744</v>
      </c>
      <c r="G1131" s="29" t="s">
        <v>97</v>
      </c>
      <c r="H1131" s="29"/>
      <c r="I1131" s="27">
        <v>2023</v>
      </c>
      <c r="J1131" s="29" t="s">
        <v>3745</v>
      </c>
      <c r="K1131" s="27">
        <v>9785206001624</v>
      </c>
      <c r="L1131" s="29" t="s">
        <v>3746</v>
      </c>
      <c r="M1131" s="27">
        <v>93</v>
      </c>
      <c r="N1131" s="30">
        <v>0.17</v>
      </c>
      <c r="O1131" s="27">
        <v>140</v>
      </c>
      <c r="P1131" s="27">
        <v>210</v>
      </c>
      <c r="Q1131" s="27">
        <v>30</v>
      </c>
      <c r="R1131" s="29" t="s">
        <v>43</v>
      </c>
      <c r="S1131" s="29"/>
      <c r="T1131" s="28">
        <v>1005</v>
      </c>
      <c r="U1131" s="29" t="s">
        <v>44</v>
      </c>
      <c r="V1131" s="29" t="s">
        <v>45</v>
      </c>
      <c r="W1131" s="27">
        <v>10</v>
      </c>
      <c r="X1131" s="37" t="str">
        <f>HYPERLINK("https://www.alpinabook.ru/catalog/book-indiyskoe-prityazhenie","ссылка на книгу")</f>
        <v>ссылка на книгу</v>
      </c>
      <c r="Y1131" s="38" t="str">
        <f>HYPERLINK("https://api-enni.alpina.ru/FilePrivilegesApproval/316","https://api-enni.alpina.ru/FilePrivilegesApproval/316")</f>
        <v>https://api-enni.alpina.ru/FilePrivilegesApproval/316</v>
      </c>
      <c r="Z1131" s="29"/>
      <c r="AT1131" s="1">
        <f t="shared" si="183"/>
        <v>0</v>
      </c>
      <c r="AU1131" s="1">
        <f t="shared" si="184"/>
        <v>0</v>
      </c>
      <c r="AV1131" s="1">
        <f t="shared" si="185"/>
        <v>0</v>
      </c>
      <c r="AW1131" s="1">
        <f t="shared" si="186"/>
        <v>0</v>
      </c>
      <c r="AX1131" s="1">
        <f t="shared" si="187"/>
        <v>0</v>
      </c>
    </row>
    <row r="1132" spans="1:50" s="1" customFormat="1" ht="24.95" customHeight="1" outlineLevel="3" x14ac:dyDescent="0.2">
      <c r="A1132" s="11"/>
      <c r="B1132" s="15">
        <v>1090</v>
      </c>
      <c r="C1132" s="15">
        <v>1590</v>
      </c>
      <c r="D1132" s="12">
        <v>30784</v>
      </c>
      <c r="E1132" s="13" t="s">
        <v>3743</v>
      </c>
      <c r="F1132" s="13" t="s">
        <v>3744</v>
      </c>
      <c r="G1132" s="13" t="s">
        <v>97</v>
      </c>
      <c r="H1132" s="13"/>
      <c r="I1132" s="12">
        <v>2024</v>
      </c>
      <c r="J1132" s="13" t="s">
        <v>3747</v>
      </c>
      <c r="K1132" s="12">
        <v>9785206003413</v>
      </c>
      <c r="L1132" s="13" t="s">
        <v>3748</v>
      </c>
      <c r="M1132" s="12">
        <v>244</v>
      </c>
      <c r="N1132" s="14">
        <v>0.35</v>
      </c>
      <c r="O1132" s="12">
        <v>150</v>
      </c>
      <c r="P1132" s="12">
        <v>220</v>
      </c>
      <c r="Q1132" s="12">
        <v>5</v>
      </c>
      <c r="R1132" s="13" t="s">
        <v>43</v>
      </c>
      <c r="S1132" s="13"/>
      <c r="T1132" s="15">
        <v>1500</v>
      </c>
      <c r="U1132" s="13" t="s">
        <v>52</v>
      </c>
      <c r="V1132" s="13" t="s">
        <v>45</v>
      </c>
      <c r="W1132" s="12">
        <v>10</v>
      </c>
      <c r="X1132" s="33" t="str">
        <f>HYPERLINK("https://www.alpinabook.ru/catalog/book-indiyskoe-prityazhenie","ссылка на книгу")</f>
        <v>ссылка на книгу</v>
      </c>
      <c r="Y1132" s="34" t="str">
        <f>HYPERLINK("https://api-enni.alpina.ru/FilePrivilegesApproval/414","https://api-enni.alpina.ru/FilePrivilegesApproval/414")</f>
        <v>https://api-enni.alpina.ru/FilePrivilegesApproval/414</v>
      </c>
      <c r="Z1132" s="13"/>
      <c r="AT1132" s="1">
        <f t="shared" si="183"/>
        <v>0</v>
      </c>
      <c r="AU1132" s="1">
        <f t="shared" si="184"/>
        <v>0</v>
      </c>
      <c r="AV1132" s="1">
        <f t="shared" si="185"/>
        <v>0</v>
      </c>
      <c r="AW1132" s="1">
        <f t="shared" si="186"/>
        <v>0</v>
      </c>
      <c r="AX1132" s="1">
        <f t="shared" si="187"/>
        <v>0</v>
      </c>
    </row>
    <row r="1133" spans="1:50" s="1" customFormat="1" ht="24.95" customHeight="1" outlineLevel="3" x14ac:dyDescent="0.2">
      <c r="A1133" s="11"/>
      <c r="B1133" s="12">
        <v>840</v>
      </c>
      <c r="C1133" s="15">
        <v>1190</v>
      </c>
      <c r="D1133" s="12">
        <v>30236</v>
      </c>
      <c r="E1133" s="13" t="s">
        <v>3749</v>
      </c>
      <c r="F1133" s="13" t="s">
        <v>3750</v>
      </c>
      <c r="G1133" s="13" t="s">
        <v>86</v>
      </c>
      <c r="H1133" s="13" t="s">
        <v>40</v>
      </c>
      <c r="I1133" s="12">
        <v>2025</v>
      </c>
      <c r="J1133" s="13" t="s">
        <v>3751</v>
      </c>
      <c r="K1133" s="12">
        <v>9785002232345</v>
      </c>
      <c r="L1133" s="13" t="s">
        <v>3752</v>
      </c>
      <c r="M1133" s="12">
        <v>546</v>
      </c>
      <c r="N1133" s="14">
        <v>0.54</v>
      </c>
      <c r="O1133" s="12">
        <v>140</v>
      </c>
      <c r="P1133" s="12">
        <v>210</v>
      </c>
      <c r="Q1133" s="12">
        <v>10</v>
      </c>
      <c r="R1133" s="13" t="s">
        <v>43</v>
      </c>
      <c r="S1133" s="13"/>
      <c r="T1133" s="15">
        <v>4000</v>
      </c>
      <c r="U1133" s="13" t="s">
        <v>44</v>
      </c>
      <c r="V1133" s="13" t="s">
        <v>59</v>
      </c>
      <c r="W1133" s="12">
        <v>10</v>
      </c>
      <c r="X1133" s="33" t="str">
        <f>HYPERLINK("https://www.alpinabook.ru/catalog/book-k-severu-ot-38-paralleli","ссылка на книгу")</f>
        <v>ссылка на книгу</v>
      </c>
      <c r="Y1133" s="34" t="str">
        <f>HYPERLINK("https://api-enni.alpina.ru/FilePrivilegesApproval/146","https://api-enni.alpina.ru/FilePrivilegesApproval/146")</f>
        <v>https://api-enni.alpina.ru/FilePrivilegesApproval/146</v>
      </c>
      <c r="Z1133" s="13" t="s">
        <v>295</v>
      </c>
      <c r="AT1133" s="1">
        <f t="shared" si="183"/>
        <v>0</v>
      </c>
      <c r="AU1133" s="1">
        <f t="shared" si="184"/>
        <v>0</v>
      </c>
      <c r="AV1133" s="1">
        <f t="shared" si="185"/>
        <v>0</v>
      </c>
      <c r="AW1133" s="1">
        <f t="shared" si="186"/>
        <v>0</v>
      </c>
      <c r="AX1133" s="1">
        <f t="shared" si="187"/>
        <v>0</v>
      </c>
    </row>
    <row r="1134" spans="1:50" s="1" customFormat="1" ht="24.95" customHeight="1" outlineLevel="3" x14ac:dyDescent="0.2">
      <c r="A1134" s="11"/>
      <c r="B1134" s="12">
        <v>710</v>
      </c>
      <c r="C1134" s="15">
        <v>1090</v>
      </c>
      <c r="D1134" s="12">
        <v>11904</v>
      </c>
      <c r="E1134" s="13" t="s">
        <v>3753</v>
      </c>
      <c r="F1134" s="13" t="s">
        <v>3754</v>
      </c>
      <c r="G1134" s="13" t="s">
        <v>56</v>
      </c>
      <c r="H1134" s="13"/>
      <c r="I1134" s="12">
        <v>2023</v>
      </c>
      <c r="J1134" s="13" t="s">
        <v>3755</v>
      </c>
      <c r="K1134" s="12">
        <v>9785961482454</v>
      </c>
      <c r="L1134" s="13" t="s">
        <v>3756</v>
      </c>
      <c r="M1134" s="12">
        <v>534</v>
      </c>
      <c r="N1134" s="14">
        <v>0.7</v>
      </c>
      <c r="O1134" s="12">
        <v>150</v>
      </c>
      <c r="P1134" s="12">
        <v>220</v>
      </c>
      <c r="Q1134" s="12">
        <v>8</v>
      </c>
      <c r="R1134" s="13" t="s">
        <v>43</v>
      </c>
      <c r="S1134" s="13"/>
      <c r="T1134" s="15">
        <v>10000</v>
      </c>
      <c r="U1134" s="13" t="s">
        <v>52</v>
      </c>
      <c r="V1134" s="13" t="s">
        <v>89</v>
      </c>
      <c r="W1134" s="12">
        <v>10</v>
      </c>
      <c r="X1134" s="33" t="str">
        <f>HYPERLINK("https://www.alpinabook.ru/catalog/book-konets-rezhima","ссылка на книгу")</f>
        <v>ссылка на книгу</v>
      </c>
      <c r="Y1134" s="34" t="str">
        <f>HYPERLINK("https://api-enni.alpina.ru/FilePrivilegesApproval/184","https://api-enni.alpina.ru/FilePrivilegesApproval/184")</f>
        <v>https://api-enni.alpina.ru/FilePrivilegesApproval/184</v>
      </c>
      <c r="Z1134" s="13"/>
      <c r="AT1134" s="1">
        <f t="shared" si="183"/>
        <v>0</v>
      </c>
      <c r="AU1134" s="1">
        <f t="shared" si="184"/>
        <v>0</v>
      </c>
      <c r="AV1134" s="1">
        <f t="shared" si="185"/>
        <v>0</v>
      </c>
      <c r="AW1134" s="1">
        <f t="shared" si="186"/>
        <v>0</v>
      </c>
      <c r="AX1134" s="1">
        <f t="shared" si="187"/>
        <v>0</v>
      </c>
    </row>
    <row r="1135" spans="1:50" s="1" customFormat="1" ht="24.95" customHeight="1" outlineLevel="3" x14ac:dyDescent="0.2">
      <c r="A1135" s="11"/>
      <c r="B1135" s="12">
        <v>740</v>
      </c>
      <c r="C1135" s="15">
        <v>1090</v>
      </c>
      <c r="D1135" s="12">
        <v>26116</v>
      </c>
      <c r="E1135" s="13" t="s">
        <v>3757</v>
      </c>
      <c r="F1135" s="13" t="s">
        <v>3758</v>
      </c>
      <c r="G1135" s="13" t="s">
        <v>97</v>
      </c>
      <c r="H1135" s="13"/>
      <c r="I1135" s="12">
        <v>2024</v>
      </c>
      <c r="J1135" s="13" t="s">
        <v>3759</v>
      </c>
      <c r="K1135" s="12">
        <v>9785206000573</v>
      </c>
      <c r="L1135" s="13" t="s">
        <v>3760</v>
      </c>
      <c r="M1135" s="12">
        <v>340</v>
      </c>
      <c r="N1135" s="14">
        <v>0.68</v>
      </c>
      <c r="O1135" s="12">
        <v>170</v>
      </c>
      <c r="P1135" s="12">
        <v>250</v>
      </c>
      <c r="Q1135" s="12">
        <v>5</v>
      </c>
      <c r="R1135" s="13" t="s">
        <v>94</v>
      </c>
      <c r="S1135" s="13"/>
      <c r="T1135" s="15">
        <v>1000</v>
      </c>
      <c r="U1135" s="13" t="s">
        <v>52</v>
      </c>
      <c r="V1135" s="13" t="s">
        <v>59</v>
      </c>
      <c r="W1135" s="12">
        <v>10</v>
      </c>
      <c r="X1135" s="33" t="str">
        <f>HYPERLINK("https://www.alpinabook.ru/catalog/book-lobbizm-i-gr","ссылка на книгу")</f>
        <v>ссылка на книгу</v>
      </c>
      <c r="Y1135" s="34" t="str">
        <f>HYPERLINK("https://api-enni.alpina.ru/FilePrivilegesApproval/167","https://api-enni.alpina.ru/FilePrivilegesApproval/167")</f>
        <v>https://api-enni.alpina.ru/FilePrivilegesApproval/167</v>
      </c>
      <c r="Z1135" s="13" t="s">
        <v>954</v>
      </c>
      <c r="AT1135" s="1">
        <f t="shared" si="183"/>
        <v>0</v>
      </c>
      <c r="AU1135" s="1">
        <f t="shared" si="184"/>
        <v>0</v>
      </c>
      <c r="AV1135" s="1">
        <f t="shared" si="185"/>
        <v>0</v>
      </c>
      <c r="AW1135" s="1">
        <f t="shared" si="186"/>
        <v>0</v>
      </c>
      <c r="AX1135" s="1">
        <f t="shared" si="187"/>
        <v>0</v>
      </c>
    </row>
    <row r="1136" spans="1:50" s="1" customFormat="1" ht="24.95" customHeight="1" outlineLevel="3" x14ac:dyDescent="0.2">
      <c r="A1136" s="11"/>
      <c r="B1136" s="12">
        <v>790</v>
      </c>
      <c r="C1136" s="15">
        <v>1190</v>
      </c>
      <c r="D1136" s="12">
        <v>19405</v>
      </c>
      <c r="E1136" s="13" t="s">
        <v>609</v>
      </c>
      <c r="F1136" s="13" t="s">
        <v>610</v>
      </c>
      <c r="G1136" s="13" t="s">
        <v>56</v>
      </c>
      <c r="H1136" s="13"/>
      <c r="I1136" s="12">
        <v>2025</v>
      </c>
      <c r="J1136" s="13" t="s">
        <v>611</v>
      </c>
      <c r="K1136" s="12">
        <v>9785961459708</v>
      </c>
      <c r="L1136" s="13" t="s">
        <v>612</v>
      </c>
      <c r="M1136" s="12">
        <v>471</v>
      </c>
      <c r="N1136" s="14">
        <v>0.64</v>
      </c>
      <c r="O1136" s="12">
        <v>150</v>
      </c>
      <c r="P1136" s="12">
        <v>220</v>
      </c>
      <c r="Q1136" s="12">
        <v>5</v>
      </c>
      <c r="R1136" s="13" t="s">
        <v>43</v>
      </c>
      <c r="S1136" s="13" t="s">
        <v>613</v>
      </c>
      <c r="T1136" s="15">
        <v>1000</v>
      </c>
      <c r="U1136" s="13" t="s">
        <v>52</v>
      </c>
      <c r="V1136" s="13" t="s">
        <v>59</v>
      </c>
      <c r="W1136" s="12">
        <v>10</v>
      </c>
      <c r="X1136" s="33" t="str">
        <f>HYPERLINK("https://www.alpinabook.ru/catalog/book-novyy-balans-sil","ссылка на книгу")</f>
        <v>ссылка на книгу</v>
      </c>
      <c r="Y1136" s="34" t="str">
        <f>HYPERLINK("https://api-enni.alpina.ru/FilePrivilegesApproval/115","https://api-enni.alpina.ru/FilePrivilegesApproval/115")</f>
        <v>https://api-enni.alpina.ru/FilePrivilegesApproval/115</v>
      </c>
      <c r="Z1136" s="13" t="s">
        <v>118</v>
      </c>
      <c r="AT1136" s="1">
        <f t="shared" si="183"/>
        <v>0</v>
      </c>
      <c r="AU1136" s="1">
        <f t="shared" si="184"/>
        <v>0</v>
      </c>
      <c r="AV1136" s="1">
        <f t="shared" si="185"/>
        <v>0</v>
      </c>
      <c r="AW1136" s="1">
        <f t="shared" si="186"/>
        <v>0</v>
      </c>
      <c r="AX1136" s="1">
        <f t="shared" si="187"/>
        <v>0</v>
      </c>
    </row>
    <row r="1137" spans="1:50" s="1" customFormat="1" ht="24.95" customHeight="1" outlineLevel="3" x14ac:dyDescent="0.2">
      <c r="A1137" s="11"/>
      <c r="B1137" s="12">
        <v>590</v>
      </c>
      <c r="C1137" s="12">
        <v>590</v>
      </c>
      <c r="D1137" s="12">
        <v>12777</v>
      </c>
      <c r="E1137" s="13" t="s">
        <v>3761</v>
      </c>
      <c r="F1137" s="13" t="s">
        <v>3762</v>
      </c>
      <c r="G1137" s="13" t="s">
        <v>56</v>
      </c>
      <c r="H1137" s="13" t="s">
        <v>3763</v>
      </c>
      <c r="I1137" s="12">
        <v>2024</v>
      </c>
      <c r="J1137" s="13" t="s">
        <v>3764</v>
      </c>
      <c r="K1137" s="12">
        <v>9785961427295</v>
      </c>
      <c r="L1137" s="13" t="s">
        <v>3765</v>
      </c>
      <c r="M1137" s="12">
        <v>331</v>
      </c>
      <c r="N1137" s="14">
        <v>0.5</v>
      </c>
      <c r="O1137" s="12">
        <v>150</v>
      </c>
      <c r="P1137" s="12">
        <v>220</v>
      </c>
      <c r="Q1137" s="12">
        <v>6</v>
      </c>
      <c r="R1137" s="13" t="s">
        <v>43</v>
      </c>
      <c r="S1137" s="13"/>
      <c r="T1137" s="15">
        <v>1000</v>
      </c>
      <c r="U1137" s="13" t="s">
        <v>52</v>
      </c>
      <c r="V1137" s="13" t="s">
        <v>45</v>
      </c>
      <c r="W1137" s="12">
        <v>10</v>
      </c>
      <c r="X1137" s="33" t="str">
        <f>HYPERLINK("https://www.alpinabook.ru/catalog/book-pamyatniki-ne-tem","ссылка на книгу")</f>
        <v>ссылка на книгу</v>
      </c>
      <c r="Y1137" s="34" t="str">
        <f>HYPERLINK("https://api-enni.alpina.ru/FilePrivilegesApproval/43","https://api-enni.alpina.ru/FilePrivilegesApproval/43")</f>
        <v>https://api-enni.alpina.ru/FilePrivilegesApproval/43</v>
      </c>
      <c r="Z1137" s="13"/>
      <c r="AT1137" s="1">
        <f t="shared" si="183"/>
        <v>0</v>
      </c>
      <c r="AU1137" s="1">
        <f t="shared" si="184"/>
        <v>0</v>
      </c>
      <c r="AV1137" s="1">
        <f t="shared" si="185"/>
        <v>0</v>
      </c>
      <c r="AW1137" s="1">
        <f t="shared" si="186"/>
        <v>0</v>
      </c>
      <c r="AX1137" s="1">
        <f t="shared" si="187"/>
        <v>0</v>
      </c>
    </row>
    <row r="1138" spans="1:50" s="1" customFormat="1" ht="24.95" customHeight="1" outlineLevel="3" x14ac:dyDescent="0.2">
      <c r="A1138" s="26"/>
      <c r="B1138" s="27">
        <v>740</v>
      </c>
      <c r="C1138" s="28">
        <v>1090</v>
      </c>
      <c r="D1138" s="27">
        <v>25771</v>
      </c>
      <c r="E1138" s="29" t="s">
        <v>3766</v>
      </c>
      <c r="F1138" s="29" t="s">
        <v>3767</v>
      </c>
      <c r="G1138" s="29" t="s">
        <v>97</v>
      </c>
      <c r="H1138" s="29"/>
      <c r="I1138" s="27">
        <v>2024</v>
      </c>
      <c r="J1138" s="29" t="s">
        <v>3768</v>
      </c>
      <c r="K1138" s="27">
        <v>9785206000191</v>
      </c>
      <c r="L1138" s="29" t="s">
        <v>3769</v>
      </c>
      <c r="M1138" s="27">
        <v>131</v>
      </c>
      <c r="N1138" s="30">
        <v>0.27</v>
      </c>
      <c r="O1138" s="27">
        <v>160</v>
      </c>
      <c r="P1138" s="27">
        <v>220</v>
      </c>
      <c r="Q1138" s="27">
        <v>3</v>
      </c>
      <c r="R1138" s="29" t="s">
        <v>43</v>
      </c>
      <c r="S1138" s="29"/>
      <c r="T1138" s="28">
        <v>1000</v>
      </c>
      <c r="U1138" s="29" t="s">
        <v>52</v>
      </c>
      <c r="V1138" s="29" t="s">
        <v>59</v>
      </c>
      <c r="W1138" s="27">
        <v>10</v>
      </c>
      <c r="X1138" s="37" t="str">
        <f>HYPERLINK("https://www.alpinabook.ru/catalog/book-politika-kak-syuzhet","ссылка на книгу")</f>
        <v>ссылка на книгу</v>
      </c>
      <c r="Y1138" s="38" t="str">
        <f>HYPERLINK("https://api-enni.alpina.ru/FilePrivilegesApproval/155","https://api-enni.alpina.ru/FilePrivilegesApproval/155")</f>
        <v>https://api-enni.alpina.ru/FilePrivilegesApproval/155</v>
      </c>
      <c r="Z1138" s="29" t="s">
        <v>567</v>
      </c>
      <c r="AT1138" s="1">
        <f t="shared" si="183"/>
        <v>0</v>
      </c>
      <c r="AU1138" s="1">
        <f t="shared" si="184"/>
        <v>0</v>
      </c>
      <c r="AV1138" s="1">
        <f t="shared" si="185"/>
        <v>0</v>
      </c>
      <c r="AW1138" s="1">
        <f t="shared" si="186"/>
        <v>0</v>
      </c>
      <c r="AX1138" s="1">
        <f t="shared" si="187"/>
        <v>0</v>
      </c>
    </row>
    <row r="1139" spans="1:50" s="1" customFormat="1" ht="24.95" customHeight="1" outlineLevel="3" x14ac:dyDescent="0.2">
      <c r="A1139" s="11"/>
      <c r="B1139" s="12">
        <v>690</v>
      </c>
      <c r="C1139" s="12">
        <v>990</v>
      </c>
      <c r="D1139" s="12">
        <v>31778</v>
      </c>
      <c r="E1139" s="13" t="s">
        <v>3770</v>
      </c>
      <c r="F1139" s="13" t="s">
        <v>3771</v>
      </c>
      <c r="G1139" s="13" t="s">
        <v>56</v>
      </c>
      <c r="H1139" s="13"/>
      <c r="I1139" s="12">
        <v>2025</v>
      </c>
      <c r="J1139" s="13" t="s">
        <v>3772</v>
      </c>
      <c r="K1139" s="12">
        <v>9785006300132</v>
      </c>
      <c r="L1139" s="13" t="s">
        <v>3773</v>
      </c>
      <c r="M1139" s="12">
        <v>518</v>
      </c>
      <c r="N1139" s="14">
        <v>0.72</v>
      </c>
      <c r="O1139" s="12">
        <v>150</v>
      </c>
      <c r="P1139" s="12">
        <v>220</v>
      </c>
      <c r="Q1139" s="12">
        <v>8</v>
      </c>
      <c r="R1139" s="13" t="s">
        <v>43</v>
      </c>
      <c r="S1139" s="13"/>
      <c r="T1139" s="15">
        <v>2000</v>
      </c>
      <c r="U1139" s="13" t="s">
        <v>52</v>
      </c>
      <c r="V1139" s="13" t="s">
        <v>45</v>
      </c>
      <c r="W1139" s="12">
        <v>10</v>
      </c>
      <c r="X1139" s="33" t="str">
        <f>HYPERLINK("https://www.alpinabook.ru/catalog/book-pochemu-rossiya-otstala","ссылка на книгу")</f>
        <v>ссылка на книгу</v>
      </c>
      <c r="Y1139" s="34" t="str">
        <f>HYPERLINK("https://api-enni.alpina.ru/FilePrivilegesApproval/713","https://api-enni.alpina.ru/FilePrivilegesApproval/713")</f>
        <v>https://api-enni.alpina.ru/FilePrivilegesApproval/713</v>
      </c>
      <c r="Z1139" s="13" t="s">
        <v>1406</v>
      </c>
      <c r="AT1139" s="1">
        <f t="shared" si="183"/>
        <v>0</v>
      </c>
      <c r="AU1139" s="1">
        <f t="shared" si="184"/>
        <v>0</v>
      </c>
      <c r="AV1139" s="1">
        <f t="shared" si="185"/>
        <v>0</v>
      </c>
      <c r="AW1139" s="1">
        <f t="shared" si="186"/>
        <v>0</v>
      </c>
      <c r="AX1139" s="1">
        <f t="shared" si="187"/>
        <v>0</v>
      </c>
    </row>
    <row r="1140" spans="1:50" s="1" customFormat="1" ht="21.95" customHeight="1" outlineLevel="3" x14ac:dyDescent="0.2">
      <c r="A1140" s="26"/>
      <c r="B1140" s="28">
        <v>1290</v>
      </c>
      <c r="C1140" s="28">
        <v>1290</v>
      </c>
      <c r="D1140" s="27">
        <v>24001</v>
      </c>
      <c r="E1140" s="29" t="s">
        <v>3774</v>
      </c>
      <c r="F1140" s="29" t="s">
        <v>3775</v>
      </c>
      <c r="G1140" s="29" t="s">
        <v>97</v>
      </c>
      <c r="H1140" s="29" t="s">
        <v>40</v>
      </c>
      <c r="I1140" s="27">
        <v>2022</v>
      </c>
      <c r="J1140" s="29" t="s">
        <v>3776</v>
      </c>
      <c r="K1140" s="27">
        <v>9785907534001</v>
      </c>
      <c r="L1140" s="29" t="s">
        <v>3777</v>
      </c>
      <c r="M1140" s="27">
        <v>448</v>
      </c>
      <c r="N1140" s="30">
        <v>0.8</v>
      </c>
      <c r="O1140" s="27">
        <v>171</v>
      </c>
      <c r="P1140" s="27">
        <v>241</v>
      </c>
      <c r="Q1140" s="27">
        <v>8</v>
      </c>
      <c r="R1140" s="29" t="s">
        <v>94</v>
      </c>
      <c r="S1140" s="29"/>
      <c r="T1140" s="28">
        <v>1000</v>
      </c>
      <c r="U1140" s="29" t="s">
        <v>52</v>
      </c>
      <c r="V1140" s="29" t="s">
        <v>45</v>
      </c>
      <c r="W1140" s="27">
        <v>20</v>
      </c>
      <c r="X1140" s="37" t="str">
        <f>HYPERLINK("https://www.alpinabook.ru/catalog/book-prolog","ссылка на книгу")</f>
        <v>ссылка на книгу</v>
      </c>
      <c r="Y1140" s="38" t="str">
        <f>HYPERLINK("","")</f>
        <v/>
      </c>
      <c r="Z1140" s="29"/>
      <c r="AT1140" s="1">
        <f t="shared" si="183"/>
        <v>0</v>
      </c>
      <c r="AU1140" s="1">
        <f t="shared" si="184"/>
        <v>0</v>
      </c>
      <c r="AV1140" s="1">
        <f t="shared" si="185"/>
        <v>0</v>
      </c>
      <c r="AW1140" s="1">
        <f t="shared" si="186"/>
        <v>0</v>
      </c>
      <c r="AX1140" s="1">
        <f t="shared" si="187"/>
        <v>0</v>
      </c>
    </row>
    <row r="1141" spans="1:50" s="1" customFormat="1" ht="24.95" customHeight="1" outlineLevel="3" x14ac:dyDescent="0.2">
      <c r="A1141" s="11"/>
      <c r="B1141" s="12">
        <v>740</v>
      </c>
      <c r="C1141" s="12">
        <v>740</v>
      </c>
      <c r="D1141" s="12">
        <v>20889</v>
      </c>
      <c r="E1141" s="13" t="s">
        <v>3778</v>
      </c>
      <c r="F1141" s="13" t="s">
        <v>3779</v>
      </c>
      <c r="G1141" s="13" t="s">
        <v>86</v>
      </c>
      <c r="H1141" s="13" t="s">
        <v>40</v>
      </c>
      <c r="I1141" s="12">
        <v>2022</v>
      </c>
      <c r="J1141" s="13" t="s">
        <v>3780</v>
      </c>
      <c r="K1141" s="12">
        <v>9785001397106</v>
      </c>
      <c r="L1141" s="13" t="s">
        <v>3781</v>
      </c>
      <c r="M1141" s="12">
        <v>390</v>
      </c>
      <c r="N1141" s="14">
        <v>0.57999999999999996</v>
      </c>
      <c r="O1141" s="12">
        <v>153</v>
      </c>
      <c r="P1141" s="12">
        <v>216</v>
      </c>
      <c r="Q1141" s="12">
        <v>10</v>
      </c>
      <c r="R1141" s="13" t="s">
        <v>43</v>
      </c>
      <c r="S1141" s="13"/>
      <c r="T1141" s="15">
        <v>1000</v>
      </c>
      <c r="U1141" s="13" t="s">
        <v>52</v>
      </c>
      <c r="V1141" s="13" t="s">
        <v>45</v>
      </c>
      <c r="W1141" s="12">
        <v>10</v>
      </c>
      <c r="X1141" s="33" t="str">
        <f>HYPERLINK("https://www.alpinabook.ru/catalog/book-razum-v-tumane-voyny","ссылка на книгу")</f>
        <v>ссылка на книгу</v>
      </c>
      <c r="Y1141" s="34" t="str">
        <f>HYPERLINK("https://api-enni.alpina.ru/FilePrivilegesApproval/179","https://api-enni.alpina.ru/FilePrivilegesApproval/179")</f>
        <v>https://api-enni.alpina.ru/FilePrivilegesApproval/179</v>
      </c>
      <c r="Z1141" s="13"/>
      <c r="AT1141" s="1">
        <f t="shared" si="183"/>
        <v>0</v>
      </c>
      <c r="AU1141" s="1">
        <f t="shared" si="184"/>
        <v>0</v>
      </c>
      <c r="AV1141" s="1">
        <f t="shared" si="185"/>
        <v>0</v>
      </c>
      <c r="AW1141" s="1">
        <f t="shared" si="186"/>
        <v>0</v>
      </c>
      <c r="AX1141" s="1">
        <f t="shared" si="187"/>
        <v>0</v>
      </c>
    </row>
    <row r="1142" spans="1:50" s="1" customFormat="1" ht="24.95" customHeight="1" outlineLevel="3" x14ac:dyDescent="0.2">
      <c r="A1142" s="11"/>
      <c r="B1142" s="15">
        <v>1190</v>
      </c>
      <c r="C1142" s="15">
        <v>1690</v>
      </c>
      <c r="D1142" s="12">
        <v>31665</v>
      </c>
      <c r="E1142" s="13" t="s">
        <v>3757</v>
      </c>
      <c r="F1142" s="13" t="s">
        <v>3782</v>
      </c>
      <c r="G1142" s="13" t="s">
        <v>97</v>
      </c>
      <c r="H1142" s="13"/>
      <c r="I1142" s="12">
        <v>2025</v>
      </c>
      <c r="J1142" s="13" t="s">
        <v>3783</v>
      </c>
      <c r="K1142" s="12">
        <v>9785206003819</v>
      </c>
      <c r="L1142" s="13" t="s">
        <v>3784</v>
      </c>
      <c r="M1142" s="12">
        <v>248</v>
      </c>
      <c r="N1142" s="14">
        <v>0.54</v>
      </c>
      <c r="O1142" s="12">
        <v>170</v>
      </c>
      <c r="P1142" s="12">
        <v>240</v>
      </c>
      <c r="Q1142" s="12">
        <v>8</v>
      </c>
      <c r="R1142" s="13" t="s">
        <v>94</v>
      </c>
      <c r="S1142" s="13"/>
      <c r="T1142" s="15">
        <v>1000</v>
      </c>
      <c r="U1142" s="13" t="s">
        <v>52</v>
      </c>
      <c r="V1142" s="13" t="s">
        <v>45</v>
      </c>
      <c r="W1142" s="12">
        <v>10</v>
      </c>
      <c r="X1142" s="33" t="str">
        <f>HYPERLINK("https://www.alpinabook.ru/catalog/book-regulirovanie-gr-i-lobbizma-v-rossii","ссылка на книгу")</f>
        <v>ссылка на книгу</v>
      </c>
      <c r="Y1142" s="34" t="str">
        <f>HYPERLINK("https://api-enni.alpina.ru/FilePrivilegesApproval/735","https://api-enni.alpina.ru/FilePrivilegesApproval/735")</f>
        <v>https://api-enni.alpina.ru/FilePrivilegesApproval/735</v>
      </c>
      <c r="Z1142" s="13"/>
      <c r="AT1142" s="1">
        <f t="shared" si="183"/>
        <v>0</v>
      </c>
      <c r="AU1142" s="1">
        <f t="shared" si="184"/>
        <v>0</v>
      </c>
      <c r="AV1142" s="1">
        <f t="shared" si="185"/>
        <v>0</v>
      </c>
      <c r="AW1142" s="1">
        <f t="shared" si="186"/>
        <v>0</v>
      </c>
      <c r="AX1142" s="1">
        <f t="shared" si="187"/>
        <v>0</v>
      </c>
    </row>
    <row r="1143" spans="1:50" s="1" customFormat="1" ht="24.95" customHeight="1" outlineLevel="3" x14ac:dyDescent="0.2">
      <c r="A1143" s="26"/>
      <c r="B1143" s="27">
        <v>790</v>
      </c>
      <c r="C1143" s="28">
        <v>1190</v>
      </c>
      <c r="D1143" s="27">
        <v>17110</v>
      </c>
      <c r="E1143" s="29" t="s">
        <v>3785</v>
      </c>
      <c r="F1143" s="29" t="s">
        <v>3786</v>
      </c>
      <c r="G1143" s="29" t="s">
        <v>56</v>
      </c>
      <c r="H1143" s="29" t="s">
        <v>40</v>
      </c>
      <c r="I1143" s="27">
        <v>2025</v>
      </c>
      <c r="J1143" s="29" t="s">
        <v>3787</v>
      </c>
      <c r="K1143" s="27">
        <v>9785961436082</v>
      </c>
      <c r="L1143" s="29" t="s">
        <v>3788</v>
      </c>
      <c r="M1143" s="27">
        <v>354</v>
      </c>
      <c r="N1143" s="30">
        <v>0.5</v>
      </c>
      <c r="O1143" s="27">
        <v>150</v>
      </c>
      <c r="P1143" s="27">
        <v>220</v>
      </c>
      <c r="Q1143" s="27">
        <v>6</v>
      </c>
      <c r="R1143" s="29" t="s">
        <v>43</v>
      </c>
      <c r="S1143" s="29" t="s">
        <v>613</v>
      </c>
      <c r="T1143" s="28">
        <v>1000</v>
      </c>
      <c r="U1143" s="29" t="s">
        <v>52</v>
      </c>
      <c r="V1143" s="29" t="s">
        <v>45</v>
      </c>
      <c r="W1143" s="27">
        <v>10</v>
      </c>
      <c r="X1143" s="37" t="str">
        <f>HYPERLINK("https://www.alpinabook.ru/catalog/book-svet-obmanuvshiy-nadezhdy","ссылка на книгу")</f>
        <v>ссылка на книгу</v>
      </c>
      <c r="Y1143" s="38" t="str">
        <f>HYPERLINK("https://api-enni.alpina.ru/FilePrivilegesApproval/62","https://api-enni.alpina.ru/FilePrivilegesApproval/62")</f>
        <v>https://api-enni.alpina.ru/FilePrivilegesApproval/62</v>
      </c>
      <c r="Z1143" s="29"/>
      <c r="AT1143" s="1">
        <f t="shared" si="183"/>
        <v>0</v>
      </c>
      <c r="AU1143" s="1">
        <f t="shared" si="184"/>
        <v>0</v>
      </c>
      <c r="AV1143" s="1">
        <f t="shared" si="185"/>
        <v>0</v>
      </c>
      <c r="AW1143" s="1">
        <f t="shared" si="186"/>
        <v>0</v>
      </c>
      <c r="AX1143" s="1">
        <f t="shared" si="187"/>
        <v>0</v>
      </c>
    </row>
    <row r="1144" spans="1:50" ht="11.1" customHeight="1" outlineLevel="2" x14ac:dyDescent="0.2">
      <c r="A1144" s="40" t="s">
        <v>3789</v>
      </c>
      <c r="B1144" s="40"/>
      <c r="C1144" s="40"/>
      <c r="D1144" s="40"/>
      <c r="E1144" s="40"/>
      <c r="F1144" s="40"/>
      <c r="G1144" s="40"/>
      <c r="H1144" s="40"/>
      <c r="I1144" s="40"/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20"/>
    </row>
    <row r="1145" spans="1:50" s="1" customFormat="1" ht="24.95" customHeight="1" outlineLevel="3" x14ac:dyDescent="0.2">
      <c r="A1145" s="26"/>
      <c r="B1145" s="27">
        <v>590</v>
      </c>
      <c r="C1145" s="27">
        <v>840</v>
      </c>
      <c r="D1145" s="27">
        <v>17297</v>
      </c>
      <c r="E1145" s="29" t="s">
        <v>3790</v>
      </c>
      <c r="F1145" s="29" t="s">
        <v>3791</v>
      </c>
      <c r="G1145" s="29" t="s">
        <v>86</v>
      </c>
      <c r="H1145" s="29" t="s">
        <v>40</v>
      </c>
      <c r="I1145" s="27">
        <v>2020</v>
      </c>
      <c r="J1145" s="29" t="s">
        <v>3792</v>
      </c>
      <c r="K1145" s="27">
        <v>9785001391951</v>
      </c>
      <c r="L1145" s="29" t="s">
        <v>3793</v>
      </c>
      <c r="M1145" s="27">
        <v>534</v>
      </c>
      <c r="N1145" s="30">
        <v>0.56999999999999995</v>
      </c>
      <c r="O1145" s="27">
        <v>141</v>
      </c>
      <c r="P1145" s="27">
        <v>210</v>
      </c>
      <c r="Q1145" s="27">
        <v>8</v>
      </c>
      <c r="R1145" s="29" t="s">
        <v>43</v>
      </c>
      <c r="S1145" s="29" t="s">
        <v>3220</v>
      </c>
      <c r="T1145" s="28">
        <v>3000</v>
      </c>
      <c r="U1145" s="29" t="s">
        <v>44</v>
      </c>
      <c r="V1145" s="29" t="s">
        <v>45</v>
      </c>
      <c r="W1145" s="27">
        <v>10</v>
      </c>
      <c r="X1145" s="37" t="str">
        <f>HYPERLINK("https://www.alpinabook.ru/catalog/book-592680","ссылка на книгу")</f>
        <v>ссылка на книгу</v>
      </c>
      <c r="Y1145" s="38" t="str">
        <f>HYPERLINK("https://api-enni.alpina.ru/FilePrivilegesApproval/247","https://api-enni.alpina.ru/FilePrivilegesApproval/247")</f>
        <v>https://api-enni.alpina.ru/FilePrivilegesApproval/247</v>
      </c>
      <c r="Z1145" s="29"/>
      <c r="AT1145" s="1">
        <f>IF($A1145&lt;&gt;0,1,0)</f>
        <v>0</v>
      </c>
      <c r="AU1145" s="1">
        <f>$A1145*$B1145</f>
        <v>0</v>
      </c>
      <c r="AV1145" s="1">
        <f>$A1145*$N1145</f>
        <v>0</v>
      </c>
      <c r="AW1145" s="1">
        <f>IF($Q1145=0,0,INT($A1145/$Q1145))</f>
        <v>0</v>
      </c>
      <c r="AX1145" s="1">
        <f>$A1145-$AW1145*$Q1145</f>
        <v>0</v>
      </c>
    </row>
    <row r="1146" spans="1:50" ht="11.1" customHeight="1" outlineLevel="2" x14ac:dyDescent="0.2">
      <c r="A1146" s="40" t="s">
        <v>3794</v>
      </c>
      <c r="B1146" s="40"/>
      <c r="C1146" s="40"/>
      <c r="D1146" s="40"/>
      <c r="E1146" s="40"/>
      <c r="F1146" s="40"/>
      <c r="G1146" s="40"/>
      <c r="H1146" s="40"/>
      <c r="I1146" s="40"/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20"/>
    </row>
    <row r="1147" spans="1:50" s="1" customFormat="1" ht="21.95" customHeight="1" outlineLevel="3" x14ac:dyDescent="0.2">
      <c r="A1147" s="11"/>
      <c r="B1147" s="12">
        <v>290</v>
      </c>
      <c r="C1147" s="12">
        <v>440</v>
      </c>
      <c r="D1147" s="12">
        <v>17818</v>
      </c>
      <c r="E1147" s="13" t="s">
        <v>3795</v>
      </c>
      <c r="F1147" s="13" t="s">
        <v>3796</v>
      </c>
      <c r="G1147" s="13" t="s">
        <v>86</v>
      </c>
      <c r="H1147" s="13" t="s">
        <v>40</v>
      </c>
      <c r="I1147" s="12">
        <v>2020</v>
      </c>
      <c r="J1147" s="13" t="s">
        <v>3797</v>
      </c>
      <c r="K1147" s="12">
        <v>9785001392439</v>
      </c>
      <c r="L1147" s="13" t="s">
        <v>3798</v>
      </c>
      <c r="M1147" s="12">
        <v>536</v>
      </c>
      <c r="N1147" s="14">
        <v>0.35</v>
      </c>
      <c r="O1147" s="12">
        <v>120</v>
      </c>
      <c r="P1147" s="12">
        <v>170</v>
      </c>
      <c r="Q1147" s="12">
        <v>6</v>
      </c>
      <c r="R1147" s="13" t="s">
        <v>75</v>
      </c>
      <c r="S1147" s="13" t="s">
        <v>596</v>
      </c>
      <c r="T1147" s="15">
        <v>3000</v>
      </c>
      <c r="U1147" s="13" t="s">
        <v>44</v>
      </c>
      <c r="V1147" s="13" t="s">
        <v>45</v>
      </c>
      <c r="W1147" s="12">
        <v>10</v>
      </c>
      <c r="X1147" s="33" t="str">
        <f>HYPERLINK("https://www.alpinabook.ru/catalog/book-606997","ссылка на книгу")</f>
        <v>ссылка на книгу</v>
      </c>
      <c r="Y1147" s="34" t="str">
        <f>HYPERLINK("","")</f>
        <v/>
      </c>
      <c r="Z1147" s="13"/>
      <c r="AT1147" s="1">
        <f t="shared" ref="AT1147:AT1161" si="188">IF($A1147&lt;&gt;0,1,0)</f>
        <v>0</v>
      </c>
      <c r="AU1147" s="1">
        <f t="shared" ref="AU1147:AU1161" si="189">$A1147*$B1147</f>
        <v>0</v>
      </c>
      <c r="AV1147" s="1">
        <f t="shared" ref="AV1147:AV1161" si="190">$A1147*$N1147</f>
        <v>0</v>
      </c>
      <c r="AW1147" s="1">
        <f t="shared" ref="AW1147:AW1161" si="191">IF($Q1147=0,0,INT($A1147/$Q1147))</f>
        <v>0</v>
      </c>
      <c r="AX1147" s="1">
        <f t="shared" ref="AX1147:AX1161" si="192">$A1147-$AW1147*$Q1147</f>
        <v>0</v>
      </c>
    </row>
    <row r="1148" spans="1:50" s="1" customFormat="1" ht="24.95" customHeight="1" outlineLevel="3" x14ac:dyDescent="0.2">
      <c r="A1148" s="11"/>
      <c r="B1148" s="12">
        <v>440</v>
      </c>
      <c r="C1148" s="12">
        <v>690</v>
      </c>
      <c r="D1148" s="12">
        <v>11191</v>
      </c>
      <c r="E1148" s="13" t="s">
        <v>2360</v>
      </c>
      <c r="F1148" s="13" t="s">
        <v>3799</v>
      </c>
      <c r="G1148" s="13" t="s">
        <v>86</v>
      </c>
      <c r="H1148" s="13" t="s">
        <v>40</v>
      </c>
      <c r="I1148" s="12">
        <v>2025</v>
      </c>
      <c r="J1148" s="13" t="s">
        <v>3800</v>
      </c>
      <c r="K1148" s="12">
        <v>9785001390275</v>
      </c>
      <c r="L1148" s="13" t="s">
        <v>3801</v>
      </c>
      <c r="M1148" s="12">
        <v>660</v>
      </c>
      <c r="N1148" s="14">
        <v>0.42</v>
      </c>
      <c r="O1148" s="12">
        <v>115</v>
      </c>
      <c r="P1148" s="12">
        <v>165</v>
      </c>
      <c r="Q1148" s="12">
        <v>10</v>
      </c>
      <c r="R1148" s="13" t="s">
        <v>75</v>
      </c>
      <c r="S1148" s="13" t="s">
        <v>596</v>
      </c>
      <c r="T1148" s="15">
        <v>2000</v>
      </c>
      <c r="U1148" s="13" t="s">
        <v>44</v>
      </c>
      <c r="V1148" s="13" t="s">
        <v>59</v>
      </c>
      <c r="W1148" s="12">
        <v>10</v>
      </c>
      <c r="X1148" s="33" t="str">
        <f>HYPERLINK("https://www.alpinabook.ru/catalog/book-giperprostranstvo","ссылка на книгу")</f>
        <v>ссылка на книгу</v>
      </c>
      <c r="Y1148" s="34" t="str">
        <f>HYPERLINK("https://api-enni.alpina.ru/FilePrivilegesApproval/5","https://api-enni.alpina.ru/FilePrivilegesApproval/5")</f>
        <v>https://api-enni.alpina.ru/FilePrivilegesApproval/5</v>
      </c>
      <c r="Z1148" s="13" t="s">
        <v>2138</v>
      </c>
      <c r="AT1148" s="1">
        <f t="shared" si="188"/>
        <v>0</v>
      </c>
      <c r="AU1148" s="1">
        <f t="shared" si="189"/>
        <v>0</v>
      </c>
      <c r="AV1148" s="1">
        <f t="shared" si="190"/>
        <v>0</v>
      </c>
      <c r="AW1148" s="1">
        <f t="shared" si="191"/>
        <v>0</v>
      </c>
      <c r="AX1148" s="1">
        <f t="shared" si="192"/>
        <v>0</v>
      </c>
    </row>
    <row r="1149" spans="1:50" s="1" customFormat="1" ht="24.95" customHeight="1" outlineLevel="3" x14ac:dyDescent="0.2">
      <c r="A1149" s="11"/>
      <c r="B1149" s="12">
        <v>390</v>
      </c>
      <c r="C1149" s="12">
        <v>640</v>
      </c>
      <c r="D1149" s="12">
        <v>11685</v>
      </c>
      <c r="E1149" s="13" t="s">
        <v>2812</v>
      </c>
      <c r="F1149" s="13" t="s">
        <v>3802</v>
      </c>
      <c r="G1149" s="13" t="s">
        <v>86</v>
      </c>
      <c r="H1149" s="13" t="s">
        <v>40</v>
      </c>
      <c r="I1149" s="12">
        <v>2024</v>
      </c>
      <c r="J1149" s="13" t="s">
        <v>3803</v>
      </c>
      <c r="K1149" s="12">
        <v>9785001390831</v>
      </c>
      <c r="L1149" s="13" t="s">
        <v>3804</v>
      </c>
      <c r="M1149" s="12">
        <v>524</v>
      </c>
      <c r="N1149" s="14">
        <v>0.34</v>
      </c>
      <c r="O1149" s="12">
        <v>115</v>
      </c>
      <c r="P1149" s="12">
        <v>165</v>
      </c>
      <c r="Q1149" s="12">
        <v>12</v>
      </c>
      <c r="R1149" s="13" t="s">
        <v>75</v>
      </c>
      <c r="S1149" s="13" t="s">
        <v>596</v>
      </c>
      <c r="T1149" s="15">
        <v>2000</v>
      </c>
      <c r="U1149" s="13" t="s">
        <v>44</v>
      </c>
      <c r="V1149" s="13" t="s">
        <v>45</v>
      </c>
      <c r="W1149" s="12">
        <v>10</v>
      </c>
      <c r="X1149" s="33" t="str">
        <f>HYPERLINK("https://www.alpinabook.ru/catalog/book-dostatochno-li-my-umny-chtoby-sudit-ob-ume-zhivotnykh","ссылка на книгу")</f>
        <v>ссылка на книгу</v>
      </c>
      <c r="Y1149" s="34" t="str">
        <f>HYPERLINK("https://api-enni.alpina.ru/FilePrivilegesApproval/149","https://api-enni.alpina.ru/FilePrivilegesApproval/149")</f>
        <v>https://api-enni.alpina.ru/FilePrivilegesApproval/149</v>
      </c>
      <c r="Z1149" s="13"/>
      <c r="AT1149" s="1">
        <f t="shared" si="188"/>
        <v>0</v>
      </c>
      <c r="AU1149" s="1">
        <f t="shared" si="189"/>
        <v>0</v>
      </c>
      <c r="AV1149" s="1">
        <f t="shared" si="190"/>
        <v>0</v>
      </c>
      <c r="AW1149" s="1">
        <f t="shared" si="191"/>
        <v>0</v>
      </c>
      <c r="AX1149" s="1">
        <f t="shared" si="192"/>
        <v>0</v>
      </c>
    </row>
    <row r="1150" spans="1:50" s="1" customFormat="1" ht="24.95" customHeight="1" outlineLevel="3" x14ac:dyDescent="0.2">
      <c r="A1150" s="11"/>
      <c r="B1150" s="12">
        <v>360</v>
      </c>
      <c r="C1150" s="12">
        <v>590</v>
      </c>
      <c r="D1150" s="12">
        <v>8880</v>
      </c>
      <c r="E1150" s="13" t="s">
        <v>2812</v>
      </c>
      <c r="F1150" s="13" t="s">
        <v>3805</v>
      </c>
      <c r="G1150" s="13" t="s">
        <v>86</v>
      </c>
      <c r="H1150" s="13" t="s">
        <v>40</v>
      </c>
      <c r="I1150" s="12">
        <v>2024</v>
      </c>
      <c r="J1150" s="13" t="s">
        <v>3806</v>
      </c>
      <c r="K1150" s="12">
        <v>9785916719147</v>
      </c>
      <c r="L1150" s="13" t="s">
        <v>3807</v>
      </c>
      <c r="M1150" s="12">
        <v>442</v>
      </c>
      <c r="N1150" s="14">
        <v>0.3</v>
      </c>
      <c r="O1150" s="12">
        <v>115</v>
      </c>
      <c r="P1150" s="12">
        <v>165</v>
      </c>
      <c r="Q1150" s="12">
        <v>12</v>
      </c>
      <c r="R1150" s="13" t="s">
        <v>75</v>
      </c>
      <c r="S1150" s="13" t="s">
        <v>596</v>
      </c>
      <c r="T1150" s="15">
        <v>2000</v>
      </c>
      <c r="U1150" s="13" t="s">
        <v>44</v>
      </c>
      <c r="V1150" s="13" t="s">
        <v>59</v>
      </c>
      <c r="W1150" s="12">
        <v>10</v>
      </c>
      <c r="X1150" s="33" t="str">
        <f>HYPERLINK("https://www.alpinabook.ru/catalog/book-istoki-morali","ссылка на книгу")</f>
        <v>ссылка на книгу</v>
      </c>
      <c r="Y1150" s="34" t="str">
        <f>HYPERLINK("https://api-enni.alpina.ru/FilePrivilegesApproval/146","https://api-enni.alpina.ru/FilePrivilegesApproval/146")</f>
        <v>https://api-enni.alpina.ru/FilePrivilegesApproval/146</v>
      </c>
      <c r="Z1150" s="13"/>
      <c r="AT1150" s="1">
        <f t="shared" si="188"/>
        <v>0</v>
      </c>
      <c r="AU1150" s="1">
        <f t="shared" si="189"/>
        <v>0</v>
      </c>
      <c r="AV1150" s="1">
        <f t="shared" si="190"/>
        <v>0</v>
      </c>
      <c r="AW1150" s="1">
        <f t="shared" si="191"/>
        <v>0</v>
      </c>
      <c r="AX1150" s="1">
        <f t="shared" si="192"/>
        <v>0</v>
      </c>
    </row>
    <row r="1151" spans="1:50" s="1" customFormat="1" ht="24.95" customHeight="1" outlineLevel="3" x14ac:dyDescent="0.2">
      <c r="A1151" s="11"/>
      <c r="B1151" s="12">
        <v>340</v>
      </c>
      <c r="C1151" s="12">
        <v>540</v>
      </c>
      <c r="D1151" s="12">
        <v>18317</v>
      </c>
      <c r="E1151" s="13" t="s">
        <v>3808</v>
      </c>
      <c r="F1151" s="13" t="s">
        <v>3809</v>
      </c>
      <c r="G1151" s="13" t="s">
        <v>86</v>
      </c>
      <c r="H1151" s="13" t="s">
        <v>40</v>
      </c>
      <c r="I1151" s="12">
        <v>2019</v>
      </c>
      <c r="J1151" s="13" t="s">
        <v>3810</v>
      </c>
      <c r="K1151" s="12">
        <v>9785001392712</v>
      </c>
      <c r="L1151" s="13" t="s">
        <v>3811</v>
      </c>
      <c r="M1151" s="12">
        <v>560</v>
      </c>
      <c r="N1151" s="14">
        <v>0.36</v>
      </c>
      <c r="O1151" s="12">
        <v>115</v>
      </c>
      <c r="P1151" s="12">
        <v>165</v>
      </c>
      <c r="Q1151" s="12">
        <v>6</v>
      </c>
      <c r="R1151" s="13" t="s">
        <v>75</v>
      </c>
      <c r="S1151" s="13" t="s">
        <v>596</v>
      </c>
      <c r="T1151" s="15">
        <v>3000</v>
      </c>
      <c r="U1151" s="13" t="s">
        <v>44</v>
      </c>
      <c r="V1151" s="13" t="s">
        <v>45</v>
      </c>
      <c r="W1151" s="12">
        <v>10</v>
      </c>
      <c r="X1151" s="33" t="str">
        <f>HYPERLINK("https://www.alpinabook.ru/catalog/book-667368","ссылка на книгу")</f>
        <v>ссылка на книгу</v>
      </c>
      <c r="Y1151" s="34" t="str">
        <f>HYPERLINK("https://api-enni.alpina.ru/FilePrivilegesApproval/259","https://api-enni.alpina.ru/FilePrivilegesApproval/259")</f>
        <v>https://api-enni.alpina.ru/FilePrivilegesApproval/259</v>
      </c>
      <c r="Z1151" s="13"/>
      <c r="AT1151" s="1">
        <f t="shared" si="188"/>
        <v>0</v>
      </c>
      <c r="AU1151" s="1">
        <f t="shared" si="189"/>
        <v>0</v>
      </c>
      <c r="AV1151" s="1">
        <f t="shared" si="190"/>
        <v>0</v>
      </c>
      <c r="AW1151" s="1">
        <f t="shared" si="191"/>
        <v>0</v>
      </c>
      <c r="AX1151" s="1">
        <f t="shared" si="192"/>
        <v>0</v>
      </c>
    </row>
    <row r="1152" spans="1:50" s="1" customFormat="1" ht="24.95" customHeight="1" outlineLevel="3" x14ac:dyDescent="0.2">
      <c r="A1152" s="11"/>
      <c r="B1152" s="12">
        <v>290</v>
      </c>
      <c r="C1152" s="12">
        <v>540</v>
      </c>
      <c r="D1152" s="12">
        <v>17401</v>
      </c>
      <c r="E1152" s="13" t="s">
        <v>3812</v>
      </c>
      <c r="F1152" s="13" t="s">
        <v>3813</v>
      </c>
      <c r="G1152" s="13" t="s">
        <v>86</v>
      </c>
      <c r="H1152" s="13" t="s">
        <v>40</v>
      </c>
      <c r="I1152" s="12">
        <v>2021</v>
      </c>
      <c r="J1152" s="13" t="s">
        <v>3814</v>
      </c>
      <c r="K1152" s="12">
        <v>9785001394327</v>
      </c>
      <c r="L1152" s="13" t="s">
        <v>3815</v>
      </c>
      <c r="M1152" s="12">
        <v>304</v>
      </c>
      <c r="N1152" s="14">
        <v>0.2</v>
      </c>
      <c r="O1152" s="12">
        <v>115</v>
      </c>
      <c r="P1152" s="12">
        <v>165</v>
      </c>
      <c r="Q1152" s="12">
        <v>10</v>
      </c>
      <c r="R1152" s="13" t="s">
        <v>75</v>
      </c>
      <c r="S1152" s="13" t="s">
        <v>596</v>
      </c>
      <c r="T1152" s="15">
        <v>3000</v>
      </c>
      <c r="U1152" s="13" t="s">
        <v>44</v>
      </c>
      <c r="V1152" s="13" t="s">
        <v>64</v>
      </c>
      <c r="W1152" s="12">
        <v>10</v>
      </c>
      <c r="X1152" s="33" t="str">
        <f>HYPERLINK("https://www.alpinabook.ru/catalog/book-710535","ссылка на книгу")</f>
        <v>ссылка на книгу</v>
      </c>
      <c r="Y1152" s="34" t="str">
        <f>HYPERLINK("https://api-enni.alpina.ru/FilePrivilegesApproval/207","https://api-enni.alpina.ru/FilePrivilegesApproval/207")</f>
        <v>https://api-enni.alpina.ru/FilePrivilegesApproval/207</v>
      </c>
      <c r="Z1152" s="13"/>
      <c r="AT1152" s="1">
        <f t="shared" si="188"/>
        <v>0</v>
      </c>
      <c r="AU1152" s="1">
        <f t="shared" si="189"/>
        <v>0</v>
      </c>
      <c r="AV1152" s="1">
        <f t="shared" si="190"/>
        <v>0</v>
      </c>
      <c r="AW1152" s="1">
        <f t="shared" si="191"/>
        <v>0</v>
      </c>
      <c r="AX1152" s="1">
        <f t="shared" si="192"/>
        <v>0</v>
      </c>
    </row>
    <row r="1153" spans="1:50" s="1" customFormat="1" ht="24.95" customHeight="1" outlineLevel="3" x14ac:dyDescent="0.2">
      <c r="A1153" s="11"/>
      <c r="B1153" s="12">
        <v>340</v>
      </c>
      <c r="C1153" s="12">
        <v>540</v>
      </c>
      <c r="D1153" s="12">
        <v>29528</v>
      </c>
      <c r="E1153" s="13" t="s">
        <v>3816</v>
      </c>
      <c r="F1153" s="13" t="s">
        <v>3817</v>
      </c>
      <c r="G1153" s="13" t="s">
        <v>56</v>
      </c>
      <c r="H1153" s="13" t="s">
        <v>40</v>
      </c>
      <c r="I1153" s="12">
        <v>2025</v>
      </c>
      <c r="J1153" s="13" t="s">
        <v>3818</v>
      </c>
      <c r="K1153" s="12">
        <v>9785961492941</v>
      </c>
      <c r="L1153" s="13" t="s">
        <v>3819</v>
      </c>
      <c r="M1153" s="12">
        <v>292</v>
      </c>
      <c r="N1153" s="14">
        <v>0.2</v>
      </c>
      <c r="O1153" s="12">
        <v>120</v>
      </c>
      <c r="P1153" s="12">
        <v>170</v>
      </c>
      <c r="Q1153" s="12">
        <v>20</v>
      </c>
      <c r="R1153" s="13" t="s">
        <v>75</v>
      </c>
      <c r="S1153" s="13" t="s">
        <v>596</v>
      </c>
      <c r="T1153" s="15">
        <v>2000</v>
      </c>
      <c r="U1153" s="13" t="s">
        <v>44</v>
      </c>
      <c r="V1153" s="13" t="s">
        <v>64</v>
      </c>
      <c r="W1153" s="12">
        <v>10</v>
      </c>
      <c r="X1153" s="33" t="str">
        <f>HYPERLINK("https://www.alpinabook.ru/catalog/book-kulturnyy-kod","ссылка на книгу")</f>
        <v>ссылка на книгу</v>
      </c>
      <c r="Y1153" s="34" t="str">
        <f>HYPERLINK("https://api-enni.alpina.ru/FilePrivilegesApproval/135","https://api-enni.alpina.ru/FilePrivilegesApproval/135")</f>
        <v>https://api-enni.alpina.ru/FilePrivilegesApproval/135</v>
      </c>
      <c r="Z1153" s="13" t="s">
        <v>1413</v>
      </c>
      <c r="AT1153" s="1">
        <f t="shared" si="188"/>
        <v>0</v>
      </c>
      <c r="AU1153" s="1">
        <f t="shared" si="189"/>
        <v>0</v>
      </c>
      <c r="AV1153" s="1">
        <f t="shared" si="190"/>
        <v>0</v>
      </c>
      <c r="AW1153" s="1">
        <f t="shared" si="191"/>
        <v>0</v>
      </c>
      <c r="AX1153" s="1">
        <f t="shared" si="192"/>
        <v>0</v>
      </c>
    </row>
    <row r="1154" spans="1:50" s="1" customFormat="1" ht="24.95" customHeight="1" outlineLevel="3" x14ac:dyDescent="0.2">
      <c r="A1154" s="11"/>
      <c r="B1154" s="12">
        <v>390</v>
      </c>
      <c r="C1154" s="12">
        <v>640</v>
      </c>
      <c r="D1154" s="12">
        <v>27570</v>
      </c>
      <c r="E1154" s="13" t="s">
        <v>2941</v>
      </c>
      <c r="F1154" s="13" t="s">
        <v>3820</v>
      </c>
      <c r="G1154" s="13" t="s">
        <v>86</v>
      </c>
      <c r="H1154" s="13"/>
      <c r="I1154" s="12">
        <v>2023</v>
      </c>
      <c r="J1154" s="13" t="s">
        <v>3821</v>
      </c>
      <c r="K1154" s="12">
        <v>9785001399339</v>
      </c>
      <c r="L1154" s="13" t="s">
        <v>3822</v>
      </c>
      <c r="M1154" s="12">
        <v>490</v>
      </c>
      <c r="N1154" s="14">
        <v>0.32</v>
      </c>
      <c r="O1154" s="12">
        <v>120</v>
      </c>
      <c r="P1154" s="12">
        <v>170</v>
      </c>
      <c r="Q1154" s="12">
        <v>12</v>
      </c>
      <c r="R1154" s="13" t="s">
        <v>75</v>
      </c>
      <c r="S1154" s="13" t="s">
        <v>596</v>
      </c>
      <c r="T1154" s="15">
        <v>2000</v>
      </c>
      <c r="U1154" s="13" t="s">
        <v>44</v>
      </c>
      <c r="V1154" s="13" t="s">
        <v>59</v>
      </c>
      <c r="W1154" s="12">
        <v>10</v>
      </c>
      <c r="X1154" s="33" t="str">
        <f>HYPERLINK("https://www.alpinabook.ru/catalog/book-mify-ob-evolyutsii-cheloveka","ссылка на книгу")</f>
        <v>ссылка на книгу</v>
      </c>
      <c r="Y1154" s="34" t="str">
        <f>HYPERLINK("https://api-enni.alpina.ru/FilePrivilegesApproval/149","https://api-enni.alpina.ru/FilePrivilegesApproval/149")</f>
        <v>https://api-enni.alpina.ru/FilePrivilegesApproval/149</v>
      </c>
      <c r="Z1154" s="13"/>
      <c r="AT1154" s="1">
        <f t="shared" si="188"/>
        <v>0</v>
      </c>
      <c r="AU1154" s="1">
        <f t="shared" si="189"/>
        <v>0</v>
      </c>
      <c r="AV1154" s="1">
        <f t="shared" si="190"/>
        <v>0</v>
      </c>
      <c r="AW1154" s="1">
        <f t="shared" si="191"/>
        <v>0</v>
      </c>
      <c r="AX1154" s="1">
        <f t="shared" si="192"/>
        <v>0</v>
      </c>
    </row>
    <row r="1155" spans="1:50" s="1" customFormat="1" ht="24.95" customHeight="1" outlineLevel="3" x14ac:dyDescent="0.2">
      <c r="A1155" s="11"/>
      <c r="B1155" s="12">
        <v>450</v>
      </c>
      <c r="C1155" s="12">
        <v>690</v>
      </c>
      <c r="D1155" s="12">
        <v>9128</v>
      </c>
      <c r="E1155" s="13" t="s">
        <v>592</v>
      </c>
      <c r="F1155" s="13" t="s">
        <v>593</v>
      </c>
      <c r="G1155" s="13" t="s">
        <v>86</v>
      </c>
      <c r="H1155" s="13" t="s">
        <v>40</v>
      </c>
      <c r="I1155" s="12">
        <v>2025</v>
      </c>
      <c r="J1155" s="13" t="s">
        <v>594</v>
      </c>
      <c r="K1155" s="12">
        <v>9785001390046</v>
      </c>
      <c r="L1155" s="13" t="s">
        <v>595</v>
      </c>
      <c r="M1155" s="12">
        <v>822</v>
      </c>
      <c r="N1155" s="14">
        <v>0.52</v>
      </c>
      <c r="O1155" s="12">
        <v>115</v>
      </c>
      <c r="P1155" s="12">
        <v>165</v>
      </c>
      <c r="Q1155" s="12">
        <v>8</v>
      </c>
      <c r="R1155" s="13" t="s">
        <v>75</v>
      </c>
      <c r="S1155" s="13" t="s">
        <v>596</v>
      </c>
      <c r="T1155" s="15">
        <v>2000</v>
      </c>
      <c r="U1155" s="13" t="s">
        <v>44</v>
      </c>
      <c r="V1155" s="13" t="s">
        <v>45</v>
      </c>
      <c r="W1155" s="12">
        <v>10</v>
      </c>
      <c r="X1155" s="33" t="str">
        <f>HYPERLINK("https://www.alpinabook.ru/catalog/book-nachalo-beskonechnosti","ссылка на книгу")</f>
        <v>ссылка на книгу</v>
      </c>
      <c r="Y1155" s="34" t="str">
        <f>HYPERLINK("https://api-enni.alpina.ru/FilePrivilegesApproval/146","https://api-enni.alpina.ru/FilePrivilegesApproval/146")</f>
        <v>https://api-enni.alpina.ru/FilePrivilegesApproval/146</v>
      </c>
      <c r="Z1155" s="13" t="s">
        <v>308</v>
      </c>
      <c r="AT1155" s="1">
        <f t="shared" si="188"/>
        <v>0</v>
      </c>
      <c r="AU1155" s="1">
        <f t="shared" si="189"/>
        <v>0</v>
      </c>
      <c r="AV1155" s="1">
        <f t="shared" si="190"/>
        <v>0</v>
      </c>
      <c r="AW1155" s="1">
        <f t="shared" si="191"/>
        <v>0</v>
      </c>
      <c r="AX1155" s="1">
        <f t="shared" si="192"/>
        <v>0</v>
      </c>
    </row>
    <row r="1156" spans="1:50" s="1" customFormat="1" ht="24.95" customHeight="1" outlineLevel="3" x14ac:dyDescent="0.2">
      <c r="A1156" s="11"/>
      <c r="B1156" s="12">
        <v>340</v>
      </c>
      <c r="C1156" s="12">
        <v>540</v>
      </c>
      <c r="D1156" s="12">
        <v>26437</v>
      </c>
      <c r="E1156" s="13" t="s">
        <v>3823</v>
      </c>
      <c r="F1156" s="13" t="s">
        <v>3824</v>
      </c>
      <c r="G1156" s="13" t="s">
        <v>86</v>
      </c>
      <c r="H1156" s="13" t="s">
        <v>40</v>
      </c>
      <c r="I1156" s="12">
        <v>2024</v>
      </c>
      <c r="J1156" s="13" t="s">
        <v>3825</v>
      </c>
      <c r="K1156" s="12">
        <v>9785001397670</v>
      </c>
      <c r="L1156" s="13" t="s">
        <v>3826</v>
      </c>
      <c r="M1156" s="12">
        <v>446</v>
      </c>
      <c r="N1156" s="14">
        <v>0.28000000000000003</v>
      </c>
      <c r="O1156" s="12">
        <v>120</v>
      </c>
      <c r="P1156" s="12">
        <v>170</v>
      </c>
      <c r="Q1156" s="12">
        <v>14</v>
      </c>
      <c r="R1156" s="13" t="s">
        <v>75</v>
      </c>
      <c r="S1156" s="13" t="s">
        <v>596</v>
      </c>
      <c r="T1156" s="15">
        <v>2000</v>
      </c>
      <c r="U1156" s="13" t="s">
        <v>44</v>
      </c>
      <c r="V1156" s="13" t="s">
        <v>45</v>
      </c>
      <c r="W1156" s="12">
        <v>10</v>
      </c>
      <c r="X1156" s="33" t="str">
        <f>HYPERLINK("https://www.alpinabook.ru/catalog/book-nedoverchivye-umy","ссылка на книгу")</f>
        <v>ссылка на книгу</v>
      </c>
      <c r="Y1156" s="34" t="str">
        <f>HYPERLINK("https://api-enni.alpina.ru/FilePrivilegesApproval/226","https://api-enni.alpina.ru/FilePrivilegesApproval/226")</f>
        <v>https://api-enni.alpina.ru/FilePrivilegesApproval/226</v>
      </c>
      <c r="Z1156" s="13"/>
      <c r="AT1156" s="1">
        <f t="shared" si="188"/>
        <v>0</v>
      </c>
      <c r="AU1156" s="1">
        <f t="shared" si="189"/>
        <v>0</v>
      </c>
      <c r="AV1156" s="1">
        <f t="shared" si="190"/>
        <v>0</v>
      </c>
      <c r="AW1156" s="1">
        <f t="shared" si="191"/>
        <v>0</v>
      </c>
      <c r="AX1156" s="1">
        <f t="shared" si="192"/>
        <v>0</v>
      </c>
    </row>
    <row r="1157" spans="1:50" s="1" customFormat="1" ht="24.95" customHeight="1" outlineLevel="3" x14ac:dyDescent="0.2">
      <c r="A1157" s="11"/>
      <c r="B1157" s="12">
        <v>490</v>
      </c>
      <c r="C1157" s="12">
        <v>690</v>
      </c>
      <c r="D1157" s="12">
        <v>27571</v>
      </c>
      <c r="E1157" s="13" t="s">
        <v>2360</v>
      </c>
      <c r="F1157" s="13" t="s">
        <v>3827</v>
      </c>
      <c r="G1157" s="13" t="s">
        <v>86</v>
      </c>
      <c r="H1157" s="13" t="s">
        <v>40</v>
      </c>
      <c r="I1157" s="12">
        <v>2025</v>
      </c>
      <c r="J1157" s="13" t="s">
        <v>3828</v>
      </c>
      <c r="K1157" s="12">
        <v>9785001399346</v>
      </c>
      <c r="L1157" s="13" t="s">
        <v>3829</v>
      </c>
      <c r="M1157" s="12">
        <v>684</v>
      </c>
      <c r="N1157" s="14">
        <v>0.44</v>
      </c>
      <c r="O1157" s="12">
        <v>120</v>
      </c>
      <c r="P1157" s="12">
        <v>170</v>
      </c>
      <c r="Q1157" s="12">
        <v>8</v>
      </c>
      <c r="R1157" s="13" t="s">
        <v>75</v>
      </c>
      <c r="S1157" s="13" t="s">
        <v>596</v>
      </c>
      <c r="T1157" s="15">
        <v>2000</v>
      </c>
      <c r="U1157" s="13" t="s">
        <v>44</v>
      </c>
      <c r="V1157" s="13" t="s">
        <v>45</v>
      </c>
      <c r="W1157" s="12">
        <v>10</v>
      </c>
      <c r="X1157" s="33" t="str">
        <f>HYPERLINK("https://www.alpinabook.ru/catalog/book-parallelnye-miry","ссылка на книгу")</f>
        <v>ссылка на книгу</v>
      </c>
      <c r="Y1157" s="34" t="str">
        <f>HYPERLINK("https://api-enni.alpina.ru/FilePrivilegesApproval/127","https://api-enni.alpina.ru/FilePrivilegesApproval/127")</f>
        <v>https://api-enni.alpina.ru/FilePrivilegesApproval/127</v>
      </c>
      <c r="Z1157" s="13" t="s">
        <v>308</v>
      </c>
      <c r="AT1157" s="1">
        <f t="shared" si="188"/>
        <v>0</v>
      </c>
      <c r="AU1157" s="1">
        <f t="shared" si="189"/>
        <v>0</v>
      </c>
      <c r="AV1157" s="1">
        <f t="shared" si="190"/>
        <v>0</v>
      </c>
      <c r="AW1157" s="1">
        <f t="shared" si="191"/>
        <v>0</v>
      </c>
      <c r="AX1157" s="1">
        <f t="shared" si="192"/>
        <v>0</v>
      </c>
    </row>
    <row r="1158" spans="1:50" s="1" customFormat="1" ht="24.95" customHeight="1" outlineLevel="3" x14ac:dyDescent="0.2">
      <c r="A1158" s="11"/>
      <c r="B1158" s="12">
        <v>340</v>
      </c>
      <c r="C1158" s="12">
        <v>540</v>
      </c>
      <c r="D1158" s="12">
        <v>28602</v>
      </c>
      <c r="E1158" s="13" t="s">
        <v>2812</v>
      </c>
      <c r="F1158" s="13" t="s">
        <v>3830</v>
      </c>
      <c r="G1158" s="13" t="s">
        <v>86</v>
      </c>
      <c r="H1158" s="13" t="s">
        <v>40</v>
      </c>
      <c r="I1158" s="12">
        <v>2023</v>
      </c>
      <c r="J1158" s="13" t="s">
        <v>3831</v>
      </c>
      <c r="K1158" s="12">
        <v>9785002230297</v>
      </c>
      <c r="L1158" s="13" t="s">
        <v>3832</v>
      </c>
      <c r="M1158" s="12">
        <v>448</v>
      </c>
      <c r="N1158" s="14">
        <v>0.28999999999999998</v>
      </c>
      <c r="O1158" s="12">
        <v>120</v>
      </c>
      <c r="P1158" s="12">
        <v>170</v>
      </c>
      <c r="Q1158" s="12">
        <v>14</v>
      </c>
      <c r="R1158" s="13" t="s">
        <v>75</v>
      </c>
      <c r="S1158" s="13" t="s">
        <v>596</v>
      </c>
      <c r="T1158" s="15">
        <v>3000</v>
      </c>
      <c r="U1158" s="13" t="s">
        <v>44</v>
      </c>
      <c r="V1158" s="13" t="s">
        <v>45</v>
      </c>
      <c r="W1158" s="12">
        <v>10</v>
      </c>
      <c r="X1158" s="33" t="str">
        <f>HYPERLINK("https://www.alpinabook.ru/catalog/book-poslednee-obyatie-mamy","ссылка на книгу")</f>
        <v>ссылка на книгу</v>
      </c>
      <c r="Y1158" s="34" t="str">
        <f>HYPERLINK("https://api-enni.alpina.ru/FilePrivilegesApproval/255","https://api-enni.alpina.ru/FilePrivilegesApproval/255")</f>
        <v>https://api-enni.alpina.ru/FilePrivilegesApproval/255</v>
      </c>
      <c r="Z1158" s="13"/>
      <c r="AT1158" s="1">
        <f t="shared" si="188"/>
        <v>0</v>
      </c>
      <c r="AU1158" s="1">
        <f t="shared" si="189"/>
        <v>0</v>
      </c>
      <c r="AV1158" s="1">
        <f t="shared" si="190"/>
        <v>0</v>
      </c>
      <c r="AW1158" s="1">
        <f t="shared" si="191"/>
        <v>0</v>
      </c>
      <c r="AX1158" s="1">
        <f t="shared" si="192"/>
        <v>0</v>
      </c>
    </row>
    <row r="1159" spans="1:50" s="1" customFormat="1" ht="24.95" customHeight="1" outlineLevel="3" x14ac:dyDescent="0.2">
      <c r="A1159" s="11"/>
      <c r="B1159" s="12">
        <v>340</v>
      </c>
      <c r="C1159" s="12">
        <v>540</v>
      </c>
      <c r="D1159" s="12">
        <v>26903</v>
      </c>
      <c r="E1159" s="13" t="s">
        <v>3833</v>
      </c>
      <c r="F1159" s="13" t="s">
        <v>3834</v>
      </c>
      <c r="G1159" s="13" t="s">
        <v>56</v>
      </c>
      <c r="H1159" s="13"/>
      <c r="I1159" s="12">
        <v>2023</v>
      </c>
      <c r="J1159" s="13" t="s">
        <v>3835</v>
      </c>
      <c r="K1159" s="12">
        <v>9785961483468</v>
      </c>
      <c r="L1159" s="13" t="s">
        <v>3836</v>
      </c>
      <c r="M1159" s="12">
        <v>320</v>
      </c>
      <c r="N1159" s="14">
        <v>0.25</v>
      </c>
      <c r="O1159" s="12">
        <v>120</v>
      </c>
      <c r="P1159" s="12">
        <v>170</v>
      </c>
      <c r="Q1159" s="12">
        <v>6</v>
      </c>
      <c r="R1159" s="13" t="s">
        <v>75</v>
      </c>
      <c r="S1159" s="13" t="s">
        <v>596</v>
      </c>
      <c r="T1159" s="15">
        <v>2000</v>
      </c>
      <c r="U1159" s="13" t="s">
        <v>44</v>
      </c>
      <c r="V1159" s="13" t="s">
        <v>45</v>
      </c>
      <c r="W1159" s="12">
        <v>10</v>
      </c>
      <c r="X1159" s="33" t="str">
        <f>HYPERLINK("https://www.alpinabook.ru/catalog/book-priroda-very","ссылка на книгу")</f>
        <v>ссылка на книгу</v>
      </c>
      <c r="Y1159" s="34" t="str">
        <f>HYPERLINK("https://api-enni.alpina.ru/FilePrivilegesApproval/164","https://api-enni.alpina.ru/FilePrivilegesApproval/164")</f>
        <v>https://api-enni.alpina.ru/FilePrivilegesApproval/164</v>
      </c>
      <c r="Z1159" s="13"/>
      <c r="AT1159" s="1">
        <f t="shared" si="188"/>
        <v>0</v>
      </c>
      <c r="AU1159" s="1">
        <f t="shared" si="189"/>
        <v>0</v>
      </c>
      <c r="AV1159" s="1">
        <f t="shared" si="190"/>
        <v>0</v>
      </c>
      <c r="AW1159" s="1">
        <f t="shared" si="191"/>
        <v>0</v>
      </c>
      <c r="AX1159" s="1">
        <f t="shared" si="192"/>
        <v>0</v>
      </c>
    </row>
    <row r="1160" spans="1:50" s="1" customFormat="1" ht="24.95" customHeight="1" outlineLevel="3" x14ac:dyDescent="0.2">
      <c r="A1160" s="11"/>
      <c r="B1160" s="12">
        <v>440</v>
      </c>
      <c r="C1160" s="12">
        <v>440</v>
      </c>
      <c r="D1160" s="12">
        <v>11493</v>
      </c>
      <c r="E1160" s="13" t="s">
        <v>3837</v>
      </c>
      <c r="F1160" s="13" t="s">
        <v>3838</v>
      </c>
      <c r="G1160" s="13" t="s">
        <v>86</v>
      </c>
      <c r="H1160" s="13" t="s">
        <v>40</v>
      </c>
      <c r="I1160" s="12">
        <v>2024</v>
      </c>
      <c r="J1160" s="13" t="s">
        <v>3839</v>
      </c>
      <c r="K1160" s="12">
        <v>9785001390633</v>
      </c>
      <c r="L1160" s="13" t="s">
        <v>3840</v>
      </c>
      <c r="M1160" s="12">
        <v>788</v>
      </c>
      <c r="N1160" s="14">
        <v>0.5</v>
      </c>
      <c r="O1160" s="12">
        <v>115</v>
      </c>
      <c r="P1160" s="12">
        <v>165</v>
      </c>
      <c r="Q1160" s="12">
        <v>6</v>
      </c>
      <c r="R1160" s="13" t="s">
        <v>75</v>
      </c>
      <c r="S1160" s="13" t="s">
        <v>596</v>
      </c>
      <c r="T1160" s="15">
        <v>2000</v>
      </c>
      <c r="U1160" s="13" t="s">
        <v>44</v>
      </c>
      <c r="V1160" s="13" t="s">
        <v>59</v>
      </c>
      <c r="W1160" s="12">
        <v>10</v>
      </c>
      <c r="X1160" s="33" t="str">
        <f>HYPERLINK("https://www.alpinabook.ru/catalog/book-psevdonauka-i-paranormalnye-yavleniya","ссылка на книгу")</f>
        <v>ссылка на книгу</v>
      </c>
      <c r="Y1160" s="34" t="str">
        <f>HYPERLINK("https://api-enni.alpina.ru/FilePrivilegesApproval/5","https://api-enni.alpina.ru/FilePrivilegesApproval/5")</f>
        <v>https://api-enni.alpina.ru/FilePrivilegesApproval/5</v>
      </c>
      <c r="Z1160" s="13"/>
      <c r="AT1160" s="1">
        <f t="shared" si="188"/>
        <v>0</v>
      </c>
      <c r="AU1160" s="1">
        <f t="shared" si="189"/>
        <v>0</v>
      </c>
      <c r="AV1160" s="1">
        <f t="shared" si="190"/>
        <v>0</v>
      </c>
      <c r="AW1160" s="1">
        <f t="shared" si="191"/>
        <v>0</v>
      </c>
      <c r="AX1160" s="1">
        <f t="shared" si="192"/>
        <v>0</v>
      </c>
    </row>
    <row r="1161" spans="1:50" s="1" customFormat="1" ht="24.95" customHeight="1" outlineLevel="3" x14ac:dyDescent="0.2">
      <c r="A1161" s="11"/>
      <c r="B1161" s="12">
        <v>440</v>
      </c>
      <c r="C1161" s="12">
        <v>690</v>
      </c>
      <c r="D1161" s="12">
        <v>8838</v>
      </c>
      <c r="E1161" s="13" t="s">
        <v>2360</v>
      </c>
      <c r="F1161" s="13" t="s">
        <v>3841</v>
      </c>
      <c r="G1161" s="13" t="s">
        <v>86</v>
      </c>
      <c r="H1161" s="13" t="s">
        <v>40</v>
      </c>
      <c r="I1161" s="12">
        <v>2024</v>
      </c>
      <c r="J1161" s="13" t="s">
        <v>3842</v>
      </c>
      <c r="K1161" s="12">
        <v>9785916718966</v>
      </c>
      <c r="L1161" s="13" t="s">
        <v>3843</v>
      </c>
      <c r="M1161" s="12">
        <v>586</v>
      </c>
      <c r="N1161" s="14">
        <v>0.38</v>
      </c>
      <c r="O1161" s="12">
        <v>115</v>
      </c>
      <c r="P1161" s="12">
        <v>165</v>
      </c>
      <c r="Q1161" s="12">
        <v>6</v>
      </c>
      <c r="R1161" s="13" t="s">
        <v>75</v>
      </c>
      <c r="S1161" s="13" t="s">
        <v>596</v>
      </c>
      <c r="T1161" s="15">
        <v>5000</v>
      </c>
      <c r="U1161" s="13" t="s">
        <v>44</v>
      </c>
      <c r="V1161" s="13" t="s">
        <v>59</v>
      </c>
      <c r="W1161" s="12">
        <v>10</v>
      </c>
      <c r="X1161" s="33" t="str">
        <f>HYPERLINK("https://www.alpinabook.ru/catalog/book-fizika-nevozmozhnogo","ссылка на книгу")</f>
        <v>ссылка на книгу</v>
      </c>
      <c r="Y1161" s="34" t="str">
        <f>HYPERLINK("https://api-enni.alpina.ru/FilePrivilegesApproval/131","https://api-enni.alpina.ru/FilePrivilegesApproval/131")</f>
        <v>https://api-enni.alpina.ru/FilePrivilegesApproval/131</v>
      </c>
      <c r="Z1161" s="13"/>
      <c r="AT1161" s="1">
        <f t="shared" si="188"/>
        <v>0</v>
      </c>
      <c r="AU1161" s="1">
        <f t="shared" si="189"/>
        <v>0</v>
      </c>
      <c r="AV1161" s="1">
        <f t="shared" si="190"/>
        <v>0</v>
      </c>
      <c r="AW1161" s="1">
        <f t="shared" si="191"/>
        <v>0</v>
      </c>
      <c r="AX1161" s="1">
        <f t="shared" si="192"/>
        <v>0</v>
      </c>
    </row>
    <row r="1162" spans="1:50" ht="11.1" customHeight="1" outlineLevel="2" x14ac:dyDescent="0.2">
      <c r="A1162" s="40" t="s">
        <v>3844</v>
      </c>
      <c r="B1162" s="40"/>
      <c r="C1162" s="40"/>
      <c r="D1162" s="40"/>
      <c r="E1162" s="40"/>
      <c r="F1162" s="40"/>
      <c r="G1162" s="40"/>
      <c r="H1162" s="40"/>
      <c r="I1162" s="40"/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20"/>
    </row>
    <row r="1163" spans="1:50" s="1" customFormat="1" ht="24.95" customHeight="1" outlineLevel="3" x14ac:dyDescent="0.2">
      <c r="A1163" s="26"/>
      <c r="B1163" s="27">
        <v>330</v>
      </c>
      <c r="C1163" s="27">
        <v>330</v>
      </c>
      <c r="D1163" s="27">
        <v>22712</v>
      </c>
      <c r="E1163" s="29" t="s">
        <v>3845</v>
      </c>
      <c r="F1163" s="29" t="s">
        <v>3846</v>
      </c>
      <c r="G1163" s="29" t="s">
        <v>56</v>
      </c>
      <c r="H1163" s="29"/>
      <c r="I1163" s="27">
        <v>2021</v>
      </c>
      <c r="J1163" s="29" t="s">
        <v>3847</v>
      </c>
      <c r="K1163" s="27">
        <v>9785907394957</v>
      </c>
      <c r="L1163" s="29" t="s">
        <v>3848</v>
      </c>
      <c r="M1163" s="27">
        <v>160</v>
      </c>
      <c r="N1163" s="30">
        <v>0.28999999999999998</v>
      </c>
      <c r="O1163" s="27">
        <v>130</v>
      </c>
      <c r="P1163" s="27">
        <v>206</v>
      </c>
      <c r="Q1163" s="27">
        <v>20</v>
      </c>
      <c r="R1163" s="29" t="s">
        <v>82</v>
      </c>
      <c r="S1163" s="29"/>
      <c r="T1163" s="28">
        <v>1500</v>
      </c>
      <c r="U1163" s="29" t="s">
        <v>52</v>
      </c>
      <c r="V1163" s="29" t="s">
        <v>89</v>
      </c>
      <c r="W1163" s="27">
        <v>10</v>
      </c>
      <c r="X1163" s="37" t="str">
        <f>HYPERLINK("https://www.alpinabook.ru/catalog/book-716328","ссылка на книгу")</f>
        <v>ссылка на книгу</v>
      </c>
      <c r="Y1163" s="38" t="str">
        <f>HYPERLINK("https://api-enni.alpina.ru/FilePrivilegesApproval/116","https://api-enni.alpina.ru/FilePrivilegesApproval/116")</f>
        <v>https://api-enni.alpina.ru/FilePrivilegesApproval/116</v>
      </c>
      <c r="Z1163" s="29"/>
      <c r="AT1163" s="1">
        <f t="shared" ref="AT1163:AT1178" si="193">IF($A1163&lt;&gt;0,1,0)</f>
        <v>0</v>
      </c>
      <c r="AU1163" s="1">
        <f t="shared" ref="AU1163:AU1178" si="194">$A1163*$B1163</f>
        <v>0</v>
      </c>
      <c r="AV1163" s="1">
        <f t="shared" ref="AV1163:AV1178" si="195">$A1163*$N1163</f>
        <v>0</v>
      </c>
      <c r="AW1163" s="1">
        <f t="shared" ref="AW1163:AW1178" si="196">IF($Q1163=0,0,INT($A1163/$Q1163))</f>
        <v>0</v>
      </c>
      <c r="AX1163" s="1">
        <f t="shared" ref="AX1163:AX1178" si="197">$A1163-$AW1163*$Q1163</f>
        <v>0</v>
      </c>
    </row>
    <row r="1164" spans="1:50" s="1" customFormat="1" ht="24.95" customHeight="1" outlineLevel="3" x14ac:dyDescent="0.2">
      <c r="A1164" s="11"/>
      <c r="B1164" s="12">
        <v>640</v>
      </c>
      <c r="C1164" s="12">
        <v>940</v>
      </c>
      <c r="D1164" s="12">
        <v>18901</v>
      </c>
      <c r="E1164" s="13" t="s">
        <v>3849</v>
      </c>
      <c r="F1164" s="13" t="s">
        <v>3850</v>
      </c>
      <c r="G1164" s="13" t="s">
        <v>56</v>
      </c>
      <c r="H1164" s="13"/>
      <c r="I1164" s="12">
        <v>2022</v>
      </c>
      <c r="J1164" s="13" t="s">
        <v>3851</v>
      </c>
      <c r="K1164" s="12">
        <v>9785961441192</v>
      </c>
      <c r="L1164" s="13" t="s">
        <v>3852</v>
      </c>
      <c r="M1164" s="12">
        <v>212</v>
      </c>
      <c r="N1164" s="14">
        <v>0.35</v>
      </c>
      <c r="O1164" s="12">
        <v>146</v>
      </c>
      <c r="P1164" s="12">
        <v>216</v>
      </c>
      <c r="Q1164" s="12">
        <v>16</v>
      </c>
      <c r="R1164" s="13" t="s">
        <v>43</v>
      </c>
      <c r="S1164" s="13"/>
      <c r="T1164" s="15">
        <v>3000</v>
      </c>
      <c r="U1164" s="13" t="s">
        <v>52</v>
      </c>
      <c r="V1164" s="13" t="s">
        <v>269</v>
      </c>
      <c r="W1164" s="12">
        <v>10</v>
      </c>
      <c r="X1164" s="33" t="str">
        <f>HYPERLINK("https://www.alpinabook.ru/catalog/book-bespoleznaya-klassika","ссылка на книгу")</f>
        <v>ссылка на книгу</v>
      </c>
      <c r="Y1164" s="34" t="str">
        <f>HYPERLINK("https://api-enni.alpina.ru/FilePrivilegesApproval/128","https://api-enni.alpina.ru/FilePrivilegesApproval/128")</f>
        <v>https://api-enni.alpina.ru/FilePrivilegesApproval/128</v>
      </c>
      <c r="Z1164" s="13"/>
      <c r="AT1164" s="1">
        <f t="shared" si="193"/>
        <v>0</v>
      </c>
      <c r="AU1164" s="1">
        <f t="shared" si="194"/>
        <v>0</v>
      </c>
      <c r="AV1164" s="1">
        <f t="shared" si="195"/>
        <v>0</v>
      </c>
      <c r="AW1164" s="1">
        <f t="shared" si="196"/>
        <v>0</v>
      </c>
      <c r="AX1164" s="1">
        <f t="shared" si="197"/>
        <v>0</v>
      </c>
    </row>
    <row r="1165" spans="1:50" s="1" customFormat="1" ht="24.95" customHeight="1" outlineLevel="3" x14ac:dyDescent="0.2">
      <c r="A1165" s="11"/>
      <c r="B1165" s="12">
        <v>690</v>
      </c>
      <c r="C1165" s="12">
        <v>990</v>
      </c>
      <c r="D1165" s="12">
        <v>17322</v>
      </c>
      <c r="E1165" s="13" t="s">
        <v>3853</v>
      </c>
      <c r="F1165" s="13" t="s">
        <v>3854</v>
      </c>
      <c r="G1165" s="13" t="s">
        <v>56</v>
      </c>
      <c r="H1165" s="13" t="s">
        <v>40</v>
      </c>
      <c r="I1165" s="12">
        <v>2025</v>
      </c>
      <c r="J1165" s="13" t="s">
        <v>3855</v>
      </c>
      <c r="K1165" s="12">
        <v>9785961438116</v>
      </c>
      <c r="L1165" s="13" t="s">
        <v>3856</v>
      </c>
      <c r="M1165" s="12">
        <v>288</v>
      </c>
      <c r="N1165" s="14">
        <v>0.46</v>
      </c>
      <c r="O1165" s="12">
        <v>150</v>
      </c>
      <c r="P1165" s="12">
        <v>220</v>
      </c>
      <c r="Q1165" s="12">
        <v>5</v>
      </c>
      <c r="R1165" s="13" t="s">
        <v>43</v>
      </c>
      <c r="S1165" s="13"/>
      <c r="T1165" s="15">
        <v>1000</v>
      </c>
      <c r="U1165" s="13" t="s">
        <v>52</v>
      </c>
      <c r="V1165" s="13" t="s">
        <v>64</v>
      </c>
      <c r="W1165" s="12">
        <v>10</v>
      </c>
      <c r="X1165" s="33" t="str">
        <f>HYPERLINK("https://www.alpinabook.ru/catalog/book-v-poiskakh-minimalizma","ссылка на книгу")</f>
        <v>ссылка на книгу</v>
      </c>
      <c r="Y1165" s="34" t="str">
        <f>HYPERLINK("https://api-enni.alpina.ru/FilePrivilegesApproval/80","https://api-enni.alpina.ru/FilePrivilegesApproval/80")</f>
        <v>https://api-enni.alpina.ru/FilePrivilegesApproval/80</v>
      </c>
      <c r="Z1165" s="13" t="s">
        <v>1222</v>
      </c>
      <c r="AT1165" s="1">
        <f t="shared" si="193"/>
        <v>0</v>
      </c>
      <c r="AU1165" s="1">
        <f t="shared" si="194"/>
        <v>0</v>
      </c>
      <c r="AV1165" s="1">
        <f t="shared" si="195"/>
        <v>0</v>
      </c>
      <c r="AW1165" s="1">
        <f t="shared" si="196"/>
        <v>0</v>
      </c>
      <c r="AX1165" s="1">
        <f t="shared" si="197"/>
        <v>0</v>
      </c>
    </row>
    <row r="1166" spans="1:50" s="1" customFormat="1" ht="24.95" customHeight="1" outlineLevel="3" x14ac:dyDescent="0.2">
      <c r="A1166" s="11"/>
      <c r="B1166" s="12">
        <v>740</v>
      </c>
      <c r="C1166" s="12">
        <v>990</v>
      </c>
      <c r="D1166" s="12">
        <v>8375</v>
      </c>
      <c r="E1166" s="13" t="s">
        <v>3857</v>
      </c>
      <c r="F1166" s="13" t="s">
        <v>3858</v>
      </c>
      <c r="G1166" s="13" t="s">
        <v>86</v>
      </c>
      <c r="H1166" s="13" t="s">
        <v>40</v>
      </c>
      <c r="I1166" s="12">
        <v>2024</v>
      </c>
      <c r="J1166" s="13" t="s">
        <v>3859</v>
      </c>
      <c r="K1166" s="12">
        <v>9785916718195</v>
      </c>
      <c r="L1166" s="13" t="s">
        <v>3860</v>
      </c>
      <c r="M1166" s="12">
        <v>212</v>
      </c>
      <c r="N1166" s="14">
        <v>0.37</v>
      </c>
      <c r="O1166" s="12">
        <v>153</v>
      </c>
      <c r="P1166" s="12">
        <v>216</v>
      </c>
      <c r="Q1166" s="12">
        <v>10</v>
      </c>
      <c r="R1166" s="13" t="s">
        <v>43</v>
      </c>
      <c r="S1166" s="13"/>
      <c r="T1166" s="15">
        <v>1000</v>
      </c>
      <c r="U1166" s="13" t="s">
        <v>52</v>
      </c>
      <c r="V1166" s="13" t="s">
        <v>59</v>
      </c>
      <c r="W1166" s="12">
        <v>10</v>
      </c>
      <c r="X1166" s="33" t="str">
        <f>HYPERLINK("https://www.alpinabook.ru/catalog/book-vokrug-sveta-s-klarksonom","ссылка на книгу")</f>
        <v>ссылка на книгу</v>
      </c>
      <c r="Y1166" s="34" t="str">
        <f>HYPERLINK("https://api-enni.alpina.ru/FilePrivilegesApproval/147","https://api-enni.alpina.ru/FilePrivilegesApproval/147")</f>
        <v>https://api-enni.alpina.ru/FilePrivilegesApproval/147</v>
      </c>
      <c r="Z1166" s="13" t="s">
        <v>387</v>
      </c>
      <c r="AT1166" s="1">
        <f t="shared" si="193"/>
        <v>0</v>
      </c>
      <c r="AU1166" s="1">
        <f t="shared" si="194"/>
        <v>0</v>
      </c>
      <c r="AV1166" s="1">
        <f t="shared" si="195"/>
        <v>0</v>
      </c>
      <c r="AW1166" s="1">
        <f t="shared" si="196"/>
        <v>0</v>
      </c>
      <c r="AX1166" s="1">
        <f t="shared" si="197"/>
        <v>0</v>
      </c>
    </row>
    <row r="1167" spans="1:50" s="1" customFormat="1" ht="24.95" customHeight="1" outlineLevel="3" x14ac:dyDescent="0.2">
      <c r="A1167" s="11"/>
      <c r="B1167" s="12">
        <v>890</v>
      </c>
      <c r="C1167" s="15">
        <v>1290</v>
      </c>
      <c r="D1167" s="12">
        <v>28830</v>
      </c>
      <c r="E1167" s="13" t="s">
        <v>3861</v>
      </c>
      <c r="F1167" s="13" t="s">
        <v>3862</v>
      </c>
      <c r="G1167" s="13" t="s">
        <v>97</v>
      </c>
      <c r="H1167" s="13" t="s">
        <v>40</v>
      </c>
      <c r="I1167" s="12">
        <v>2025</v>
      </c>
      <c r="J1167" s="13" t="s">
        <v>3863</v>
      </c>
      <c r="K1167" s="12">
        <v>9785206002409</v>
      </c>
      <c r="L1167" s="13" t="s">
        <v>3864</v>
      </c>
      <c r="M1167" s="12">
        <v>384</v>
      </c>
      <c r="N1167" s="14">
        <v>0.73</v>
      </c>
      <c r="O1167" s="12">
        <v>170</v>
      </c>
      <c r="P1167" s="12">
        <v>240</v>
      </c>
      <c r="Q1167" s="12">
        <v>4</v>
      </c>
      <c r="R1167" s="13" t="s">
        <v>94</v>
      </c>
      <c r="S1167" s="13"/>
      <c r="T1167" s="15">
        <v>1000</v>
      </c>
      <c r="U1167" s="13" t="s">
        <v>52</v>
      </c>
      <c r="V1167" s="13" t="s">
        <v>45</v>
      </c>
      <c r="W1167" s="12">
        <v>10</v>
      </c>
      <c r="X1167" s="33" t="str">
        <f>HYPERLINK("https://www.alpinabook.ru/catalog/book-gorod-budushchego-dubay","ссылка на книгу")</f>
        <v>ссылка на книгу</v>
      </c>
      <c r="Y1167" s="34" t="str">
        <f>HYPERLINK("https://api-enni.alpina.ru/FilePrivilegesApproval/372","https://api-enni.alpina.ru/FilePrivilegesApproval/372")</f>
        <v>https://api-enni.alpina.ru/FilePrivilegesApproval/372</v>
      </c>
      <c r="Z1167" s="13" t="s">
        <v>775</v>
      </c>
      <c r="AT1167" s="1">
        <f t="shared" si="193"/>
        <v>0</v>
      </c>
      <c r="AU1167" s="1">
        <f t="shared" si="194"/>
        <v>0</v>
      </c>
      <c r="AV1167" s="1">
        <f t="shared" si="195"/>
        <v>0</v>
      </c>
      <c r="AW1167" s="1">
        <f t="shared" si="196"/>
        <v>0</v>
      </c>
      <c r="AX1167" s="1">
        <f t="shared" si="197"/>
        <v>0</v>
      </c>
    </row>
    <row r="1168" spans="1:50" s="1" customFormat="1" ht="24.95" customHeight="1" outlineLevel="3" x14ac:dyDescent="0.2">
      <c r="A1168" s="11"/>
      <c r="B1168" s="12">
        <v>740</v>
      </c>
      <c r="C1168" s="12">
        <v>740</v>
      </c>
      <c r="D1168" s="12">
        <v>22998</v>
      </c>
      <c r="E1168" s="13" t="s">
        <v>3865</v>
      </c>
      <c r="F1168" s="13" t="s">
        <v>3866</v>
      </c>
      <c r="G1168" s="13" t="s">
        <v>97</v>
      </c>
      <c r="H1168" s="13"/>
      <c r="I1168" s="12">
        <v>2022</v>
      </c>
      <c r="J1168" s="13" t="s">
        <v>3867</v>
      </c>
      <c r="K1168" s="12">
        <v>9785206000894</v>
      </c>
      <c r="L1168" s="13" t="s">
        <v>3868</v>
      </c>
      <c r="M1168" s="12">
        <v>256</v>
      </c>
      <c r="N1168" s="14">
        <v>0.3</v>
      </c>
      <c r="O1168" s="12">
        <v>141</v>
      </c>
      <c r="P1168" s="12">
        <v>210</v>
      </c>
      <c r="Q1168" s="12">
        <v>14</v>
      </c>
      <c r="R1168" s="13" t="s">
        <v>43</v>
      </c>
      <c r="S1168" s="13"/>
      <c r="T1168" s="15">
        <v>3000</v>
      </c>
      <c r="U1168" s="13" t="s">
        <v>44</v>
      </c>
      <c r="V1168" s="13" t="s">
        <v>59</v>
      </c>
      <c r="W1168" s="12">
        <v>10</v>
      </c>
      <c r="X1168" s="33" t="str">
        <f>HYPERLINK("https://www.alpinabook.ru/catalog/book-dom-za-rubezhom","ссылка на книгу")</f>
        <v>ссылка на книгу</v>
      </c>
      <c r="Y1168" s="34" t="str">
        <f>HYPERLINK("https://api-enni.alpina.ru/FilePrivilegesApproval/167","https://api-enni.alpina.ru/FilePrivilegesApproval/167")</f>
        <v>https://api-enni.alpina.ru/FilePrivilegesApproval/167</v>
      </c>
      <c r="Z1168" s="13"/>
      <c r="AT1168" s="1">
        <f t="shared" si="193"/>
        <v>0</v>
      </c>
      <c r="AU1168" s="1">
        <f t="shared" si="194"/>
        <v>0</v>
      </c>
      <c r="AV1168" s="1">
        <f t="shared" si="195"/>
        <v>0</v>
      </c>
      <c r="AW1168" s="1">
        <f t="shared" si="196"/>
        <v>0</v>
      </c>
      <c r="AX1168" s="1">
        <f t="shared" si="197"/>
        <v>0</v>
      </c>
    </row>
    <row r="1169" spans="1:50" s="1" customFormat="1" ht="24.95" customHeight="1" outlineLevel="3" x14ac:dyDescent="0.2">
      <c r="A1169" s="11"/>
      <c r="B1169" s="12">
        <v>540</v>
      </c>
      <c r="C1169" s="12">
        <v>790</v>
      </c>
      <c r="D1169" s="12">
        <v>26442</v>
      </c>
      <c r="E1169" s="13" t="s">
        <v>432</v>
      </c>
      <c r="F1169" s="13" t="s">
        <v>433</v>
      </c>
      <c r="G1169" s="13" t="s">
        <v>56</v>
      </c>
      <c r="H1169" s="13" t="s">
        <v>434</v>
      </c>
      <c r="I1169" s="12">
        <v>2025</v>
      </c>
      <c r="J1169" s="13" t="s">
        <v>435</v>
      </c>
      <c r="K1169" s="12">
        <v>9785961481686</v>
      </c>
      <c r="L1169" s="13" t="s">
        <v>436</v>
      </c>
      <c r="M1169" s="12">
        <v>240</v>
      </c>
      <c r="N1169" s="14">
        <v>0.38</v>
      </c>
      <c r="O1169" s="12">
        <v>150</v>
      </c>
      <c r="P1169" s="12">
        <v>220</v>
      </c>
      <c r="Q1169" s="12">
        <v>5</v>
      </c>
      <c r="R1169" s="13" t="s">
        <v>43</v>
      </c>
      <c r="S1169" s="13"/>
      <c r="T1169" s="15">
        <v>1000</v>
      </c>
      <c r="U1169" s="13" t="s">
        <v>52</v>
      </c>
      <c r="V1169" s="13" t="s">
        <v>64</v>
      </c>
      <c r="W1169" s="12">
        <v>10</v>
      </c>
      <c r="X1169" s="33" t="str">
        <f>HYPERLINK("https://www.alpinabook.ru/catalog/book-za-bortom-po-svoey-vole","ссылка на книгу")</f>
        <v>ссылка на книгу</v>
      </c>
      <c r="Y1169" s="34" t="str">
        <f>HYPERLINK("https://api-enni.alpina.ru/FilePrivilegesApproval/163","https://api-enni.alpina.ru/FilePrivilegesApproval/163")</f>
        <v>https://api-enni.alpina.ru/FilePrivilegesApproval/163</v>
      </c>
      <c r="Z1169" s="13" t="s">
        <v>431</v>
      </c>
      <c r="AT1169" s="1">
        <f t="shared" si="193"/>
        <v>0</v>
      </c>
      <c r="AU1169" s="1">
        <f t="shared" si="194"/>
        <v>0</v>
      </c>
      <c r="AV1169" s="1">
        <f t="shared" si="195"/>
        <v>0</v>
      </c>
      <c r="AW1169" s="1">
        <f t="shared" si="196"/>
        <v>0</v>
      </c>
      <c r="AX1169" s="1">
        <f t="shared" si="197"/>
        <v>0</v>
      </c>
    </row>
    <row r="1170" spans="1:50" s="1" customFormat="1" ht="24.95" customHeight="1" outlineLevel="3" x14ac:dyDescent="0.2">
      <c r="A1170" s="11"/>
      <c r="B1170" s="12">
        <v>890</v>
      </c>
      <c r="C1170" s="15">
        <v>1190</v>
      </c>
      <c r="D1170" s="12">
        <v>19170</v>
      </c>
      <c r="E1170" s="13" t="s">
        <v>3869</v>
      </c>
      <c r="F1170" s="13" t="s">
        <v>3870</v>
      </c>
      <c r="G1170" s="13" t="s">
        <v>86</v>
      </c>
      <c r="H1170" s="13" t="s">
        <v>40</v>
      </c>
      <c r="I1170" s="12">
        <v>2023</v>
      </c>
      <c r="J1170" s="13" t="s">
        <v>3871</v>
      </c>
      <c r="K1170" s="12">
        <v>9785001397885</v>
      </c>
      <c r="L1170" s="13" t="s">
        <v>3872</v>
      </c>
      <c r="M1170" s="12">
        <v>472</v>
      </c>
      <c r="N1170" s="14">
        <v>0.68</v>
      </c>
      <c r="O1170" s="12">
        <v>146</v>
      </c>
      <c r="P1170" s="12">
        <v>216</v>
      </c>
      <c r="Q1170" s="12">
        <v>8</v>
      </c>
      <c r="R1170" s="13" t="s">
        <v>43</v>
      </c>
      <c r="S1170" s="13"/>
      <c r="T1170" s="15">
        <v>2000</v>
      </c>
      <c r="U1170" s="13" t="s">
        <v>52</v>
      </c>
      <c r="V1170" s="13" t="s">
        <v>59</v>
      </c>
      <c r="W1170" s="12">
        <v>10</v>
      </c>
      <c r="X1170" s="33" t="str">
        <f>HYPERLINK("https://www.alpinabook.ru/catalog/book-kitayskaya-mysl","ссылка на книгу")</f>
        <v>ссылка на книгу</v>
      </c>
      <c r="Y1170" s="34" t="str">
        <f>HYPERLINK("https://api-enni.alpina.ru/FilePrivilegesApproval/171","https://api-enni.alpina.ru/FilePrivilegesApproval/171")</f>
        <v>https://api-enni.alpina.ru/FilePrivilegesApproval/171</v>
      </c>
      <c r="Z1170" s="13"/>
      <c r="AT1170" s="1">
        <f t="shared" si="193"/>
        <v>0</v>
      </c>
      <c r="AU1170" s="1">
        <f t="shared" si="194"/>
        <v>0</v>
      </c>
      <c r="AV1170" s="1">
        <f t="shared" si="195"/>
        <v>0</v>
      </c>
      <c r="AW1170" s="1">
        <f t="shared" si="196"/>
        <v>0</v>
      </c>
      <c r="AX1170" s="1">
        <f t="shared" si="197"/>
        <v>0</v>
      </c>
    </row>
    <row r="1171" spans="1:50" s="1" customFormat="1" ht="24.95" customHeight="1" outlineLevel="3" x14ac:dyDescent="0.2">
      <c r="A1171" s="11"/>
      <c r="B1171" s="15">
        <v>1090</v>
      </c>
      <c r="C1171" s="15">
        <v>1090</v>
      </c>
      <c r="D1171" s="12">
        <v>25535</v>
      </c>
      <c r="E1171" s="13" t="s">
        <v>3873</v>
      </c>
      <c r="F1171" s="13" t="s">
        <v>3874</v>
      </c>
      <c r="G1171" s="13" t="s">
        <v>56</v>
      </c>
      <c r="H1171" s="13" t="s">
        <v>40</v>
      </c>
      <c r="I1171" s="12">
        <v>2024</v>
      </c>
      <c r="J1171" s="13" t="s">
        <v>3875</v>
      </c>
      <c r="K1171" s="12">
        <v>9785961480313</v>
      </c>
      <c r="L1171" s="13" t="s">
        <v>3876</v>
      </c>
      <c r="M1171" s="12">
        <v>896</v>
      </c>
      <c r="N1171" s="14">
        <v>0.94</v>
      </c>
      <c r="O1171" s="12">
        <v>150</v>
      </c>
      <c r="P1171" s="12">
        <v>220</v>
      </c>
      <c r="Q1171" s="12">
        <v>6</v>
      </c>
      <c r="R1171" s="13" t="s">
        <v>43</v>
      </c>
      <c r="S1171" s="13"/>
      <c r="T1171" s="15">
        <v>1500</v>
      </c>
      <c r="U1171" s="13" t="s">
        <v>52</v>
      </c>
      <c r="V1171" s="13" t="s">
        <v>59</v>
      </c>
      <c r="W1171" s="12">
        <v>10</v>
      </c>
      <c r="X1171" s="33" t="str">
        <f>HYPERLINK("https://www.alpinabook.ru/catalog/book-london","ссылка на книгу")</f>
        <v>ссылка на книгу</v>
      </c>
      <c r="Y1171" s="34" t="str">
        <f>HYPERLINK("https://api-enni.alpina.ru/FilePrivilegesApproval/141","https://api-enni.alpina.ru/FilePrivilegesApproval/141")</f>
        <v>https://api-enni.alpina.ru/FilePrivilegesApproval/141</v>
      </c>
      <c r="Z1171" s="13"/>
      <c r="AT1171" s="1">
        <f t="shared" si="193"/>
        <v>0</v>
      </c>
      <c r="AU1171" s="1">
        <f t="shared" si="194"/>
        <v>0</v>
      </c>
      <c r="AV1171" s="1">
        <f t="shared" si="195"/>
        <v>0</v>
      </c>
      <c r="AW1171" s="1">
        <f t="shared" si="196"/>
        <v>0</v>
      </c>
      <c r="AX1171" s="1">
        <f t="shared" si="197"/>
        <v>0</v>
      </c>
    </row>
    <row r="1172" spans="1:50" s="1" customFormat="1" ht="24.95" customHeight="1" outlineLevel="3" x14ac:dyDescent="0.2">
      <c r="A1172" s="11"/>
      <c r="B1172" s="12">
        <v>990</v>
      </c>
      <c r="C1172" s="15">
        <v>1490</v>
      </c>
      <c r="D1172" s="12">
        <v>30222</v>
      </c>
      <c r="E1172" s="13" t="s">
        <v>3749</v>
      </c>
      <c r="F1172" s="13" t="s">
        <v>3877</v>
      </c>
      <c r="G1172" s="13" t="s">
        <v>86</v>
      </c>
      <c r="H1172" s="13"/>
      <c r="I1172" s="12">
        <v>2024</v>
      </c>
      <c r="J1172" s="13" t="s">
        <v>3878</v>
      </c>
      <c r="K1172" s="12">
        <v>9785002232338</v>
      </c>
      <c r="L1172" s="13" t="s">
        <v>3879</v>
      </c>
      <c r="M1172" s="12">
        <v>608</v>
      </c>
      <c r="N1172" s="14">
        <v>0.68</v>
      </c>
      <c r="O1172" s="12">
        <v>150</v>
      </c>
      <c r="P1172" s="12">
        <v>220</v>
      </c>
      <c r="Q1172" s="12">
        <v>8</v>
      </c>
      <c r="R1172" s="13" t="s">
        <v>43</v>
      </c>
      <c r="S1172" s="13"/>
      <c r="T1172" s="15">
        <v>5000</v>
      </c>
      <c r="U1172" s="13" t="s">
        <v>52</v>
      </c>
      <c r="V1172" s="13" t="s">
        <v>89</v>
      </c>
      <c r="W1172" s="12">
        <v>10</v>
      </c>
      <c r="X1172" s="33" t="str">
        <f>HYPERLINK("https://www.alpinabook.ru/catalog/book-ne-tolko-kimchkhi","ссылка на книгу")</f>
        <v>ссылка на книгу</v>
      </c>
      <c r="Y1172" s="34" t="str">
        <f>HYPERLINK("https://api-enni.alpina.ru/FilePrivilegesApproval/544","https://api-enni.alpina.ru/FilePrivilegesApproval/544")</f>
        <v>https://api-enni.alpina.ru/FilePrivilegesApproval/544</v>
      </c>
      <c r="Z1172" s="13"/>
      <c r="AT1172" s="1">
        <f t="shared" si="193"/>
        <v>0</v>
      </c>
      <c r="AU1172" s="1">
        <f t="shared" si="194"/>
        <v>0</v>
      </c>
      <c r="AV1172" s="1">
        <f t="shared" si="195"/>
        <v>0</v>
      </c>
      <c r="AW1172" s="1">
        <f t="shared" si="196"/>
        <v>0</v>
      </c>
      <c r="AX1172" s="1">
        <f t="shared" si="197"/>
        <v>0</v>
      </c>
    </row>
    <row r="1173" spans="1:50" s="1" customFormat="1" ht="24.95" customHeight="1" outlineLevel="3" x14ac:dyDescent="0.2">
      <c r="A1173" s="11"/>
      <c r="B1173" s="12">
        <v>740</v>
      </c>
      <c r="C1173" s="15">
        <v>1090</v>
      </c>
      <c r="D1173" s="12">
        <v>23828</v>
      </c>
      <c r="E1173" s="13" t="s">
        <v>3880</v>
      </c>
      <c r="F1173" s="13" t="s">
        <v>3881</v>
      </c>
      <c r="G1173" s="13" t="s">
        <v>56</v>
      </c>
      <c r="H1173" s="13" t="s">
        <v>40</v>
      </c>
      <c r="I1173" s="12">
        <v>2025</v>
      </c>
      <c r="J1173" s="13" t="s">
        <v>3882</v>
      </c>
      <c r="K1173" s="12">
        <v>9785961473704</v>
      </c>
      <c r="L1173" s="13" t="s">
        <v>3883</v>
      </c>
      <c r="M1173" s="12">
        <v>474</v>
      </c>
      <c r="N1173" s="14">
        <v>0.77</v>
      </c>
      <c r="O1173" s="12">
        <v>170</v>
      </c>
      <c r="P1173" s="12">
        <v>240</v>
      </c>
      <c r="Q1173" s="12">
        <v>4</v>
      </c>
      <c r="R1173" s="13" t="s">
        <v>94</v>
      </c>
      <c r="S1173" s="13"/>
      <c r="T1173" s="15">
        <v>2000</v>
      </c>
      <c r="U1173" s="13" t="s">
        <v>52</v>
      </c>
      <c r="V1173" s="13" t="s">
        <v>59</v>
      </c>
      <c r="W1173" s="12">
        <v>10</v>
      </c>
      <c r="X1173" s="33" t="str">
        <f>HYPERLINK("https://www.alpinabook.ru/catalog/book-nezapadnaya-istoriya-nauki","ссылка на книгу")</f>
        <v>ссылка на книгу</v>
      </c>
      <c r="Y1173" s="34" t="str">
        <f>HYPERLINK("https://api-enni.alpina.ru/FilePrivilegesApproval/163","https://api-enni.alpina.ru/FilePrivilegesApproval/163")</f>
        <v>https://api-enni.alpina.ru/FilePrivilegesApproval/163</v>
      </c>
      <c r="Z1173" s="13"/>
      <c r="AT1173" s="1">
        <f t="shared" si="193"/>
        <v>0</v>
      </c>
      <c r="AU1173" s="1">
        <f t="shared" si="194"/>
        <v>0</v>
      </c>
      <c r="AV1173" s="1">
        <f t="shared" si="195"/>
        <v>0</v>
      </c>
      <c r="AW1173" s="1">
        <f t="shared" si="196"/>
        <v>0</v>
      </c>
      <c r="AX1173" s="1">
        <f t="shared" si="197"/>
        <v>0</v>
      </c>
    </row>
    <row r="1174" spans="1:50" s="1" customFormat="1" ht="24.95" customHeight="1" outlineLevel="3" x14ac:dyDescent="0.2">
      <c r="A1174" s="11"/>
      <c r="B1174" s="12">
        <v>790</v>
      </c>
      <c r="C1174" s="15">
        <v>1190</v>
      </c>
      <c r="D1174" s="12">
        <v>29241</v>
      </c>
      <c r="E1174" s="13" t="s">
        <v>3884</v>
      </c>
      <c r="F1174" s="13" t="s">
        <v>3885</v>
      </c>
      <c r="G1174" s="13" t="s">
        <v>56</v>
      </c>
      <c r="H1174" s="13" t="s">
        <v>40</v>
      </c>
      <c r="I1174" s="12">
        <v>2025</v>
      </c>
      <c r="J1174" s="13" t="s">
        <v>3886</v>
      </c>
      <c r="K1174" s="12">
        <v>9785961491821</v>
      </c>
      <c r="L1174" s="13" t="s">
        <v>3887</v>
      </c>
      <c r="M1174" s="12">
        <v>461</v>
      </c>
      <c r="N1174" s="14">
        <v>0.66</v>
      </c>
      <c r="O1174" s="12">
        <v>150</v>
      </c>
      <c r="P1174" s="12">
        <v>220</v>
      </c>
      <c r="Q1174" s="12">
        <v>8</v>
      </c>
      <c r="R1174" s="13" t="s">
        <v>43</v>
      </c>
      <c r="S1174" s="13"/>
      <c r="T1174" s="15">
        <v>2000</v>
      </c>
      <c r="U1174" s="13" t="s">
        <v>52</v>
      </c>
      <c r="V1174" s="13" t="s">
        <v>45</v>
      </c>
      <c r="W1174" s="12">
        <v>10</v>
      </c>
      <c r="X1174" s="33" t="str">
        <f>HYPERLINK("https://www.alpinabook.ru/catalog/book-neft-i-krov","ссылка на книгу")</f>
        <v>ссылка на книгу</v>
      </c>
      <c r="Y1174" s="34" t="str">
        <f>HYPERLINK("https://api-enni.alpina.ru/FilePrivilegesApproval/500","https://api-enni.alpina.ru/FilePrivilegesApproval/500")</f>
        <v>https://api-enni.alpina.ru/FilePrivilegesApproval/500</v>
      </c>
      <c r="Z1174" s="13"/>
      <c r="AT1174" s="1">
        <f t="shared" si="193"/>
        <v>0</v>
      </c>
      <c r="AU1174" s="1">
        <f t="shared" si="194"/>
        <v>0</v>
      </c>
      <c r="AV1174" s="1">
        <f t="shared" si="195"/>
        <v>0</v>
      </c>
      <c r="AW1174" s="1">
        <f t="shared" si="196"/>
        <v>0</v>
      </c>
      <c r="AX1174" s="1">
        <f t="shared" si="197"/>
        <v>0</v>
      </c>
    </row>
    <row r="1175" spans="1:50" s="1" customFormat="1" ht="24.95" customHeight="1" outlineLevel="3" x14ac:dyDescent="0.2">
      <c r="A1175" s="11"/>
      <c r="B1175" s="12">
        <v>590</v>
      </c>
      <c r="C1175" s="12">
        <v>840</v>
      </c>
      <c r="D1175" s="12">
        <v>12392</v>
      </c>
      <c r="E1175" s="13" t="s">
        <v>605</v>
      </c>
      <c r="F1175" s="13" t="s">
        <v>606</v>
      </c>
      <c r="G1175" s="13" t="s">
        <v>56</v>
      </c>
      <c r="H1175" s="13"/>
      <c r="I1175" s="12">
        <v>2025</v>
      </c>
      <c r="J1175" s="13" t="s">
        <v>607</v>
      </c>
      <c r="K1175" s="12">
        <v>9785961425031</v>
      </c>
      <c r="L1175" s="13" t="s">
        <v>608</v>
      </c>
      <c r="M1175" s="12">
        <v>304</v>
      </c>
      <c r="N1175" s="14">
        <v>0.45</v>
      </c>
      <c r="O1175" s="12">
        <v>146</v>
      </c>
      <c r="P1175" s="12">
        <v>216</v>
      </c>
      <c r="Q1175" s="12">
        <v>5</v>
      </c>
      <c r="R1175" s="13" t="s">
        <v>43</v>
      </c>
      <c r="S1175" s="13"/>
      <c r="T1175" s="15">
        <v>1000</v>
      </c>
      <c r="U1175" s="13" t="s">
        <v>52</v>
      </c>
      <c r="V1175" s="13" t="s">
        <v>45</v>
      </c>
      <c r="W1175" s="12">
        <v>10</v>
      </c>
      <c r="X1175" s="33" t="str">
        <f>HYPERLINK("https://www.alpinabook.ru/catalog/book-ni-khao","ссылка на книгу")</f>
        <v>ссылка на книгу</v>
      </c>
      <c r="Y1175" s="34" t="str">
        <f>HYPERLINK("https://api-enni.alpina.ru/FilePrivilegesApproval/22","https://api-enni.alpina.ru/FilePrivilegesApproval/22")</f>
        <v>https://api-enni.alpina.ru/FilePrivilegesApproval/22</v>
      </c>
      <c r="Z1175" s="13" t="s">
        <v>387</v>
      </c>
      <c r="AT1175" s="1">
        <f t="shared" si="193"/>
        <v>0</v>
      </c>
      <c r="AU1175" s="1">
        <f t="shared" si="194"/>
        <v>0</v>
      </c>
      <c r="AV1175" s="1">
        <f t="shared" si="195"/>
        <v>0</v>
      </c>
      <c r="AW1175" s="1">
        <f t="shared" si="196"/>
        <v>0</v>
      </c>
      <c r="AX1175" s="1">
        <f t="shared" si="197"/>
        <v>0</v>
      </c>
    </row>
    <row r="1176" spans="1:50" s="1" customFormat="1" ht="24.95" customHeight="1" outlineLevel="3" x14ac:dyDescent="0.2">
      <c r="A1176" s="11"/>
      <c r="B1176" s="12">
        <v>640</v>
      </c>
      <c r="C1176" s="12">
        <v>940</v>
      </c>
      <c r="D1176" s="12">
        <v>30613</v>
      </c>
      <c r="E1176" s="13" t="s">
        <v>3888</v>
      </c>
      <c r="F1176" s="13" t="s">
        <v>3889</v>
      </c>
      <c r="G1176" s="13" t="s">
        <v>86</v>
      </c>
      <c r="H1176" s="13" t="s">
        <v>40</v>
      </c>
      <c r="I1176" s="12">
        <v>2024</v>
      </c>
      <c r="J1176" s="13" t="s">
        <v>3890</v>
      </c>
      <c r="K1176" s="12">
        <v>9785002232659</v>
      </c>
      <c r="L1176" s="13" t="s">
        <v>3891</v>
      </c>
      <c r="M1176" s="12">
        <v>428</v>
      </c>
      <c r="N1176" s="14">
        <v>0.52</v>
      </c>
      <c r="O1176" s="12">
        <v>140</v>
      </c>
      <c r="P1176" s="12">
        <v>210</v>
      </c>
      <c r="Q1176" s="12">
        <v>12</v>
      </c>
      <c r="R1176" s="13" t="s">
        <v>43</v>
      </c>
      <c r="S1176" s="13"/>
      <c r="T1176" s="15">
        <v>2000</v>
      </c>
      <c r="U1176" s="13" t="s">
        <v>44</v>
      </c>
      <c r="V1176" s="13" t="s">
        <v>45</v>
      </c>
      <c r="W1176" s="12">
        <v>10</v>
      </c>
      <c r="X1176" s="33" t="str">
        <f>HYPERLINK("https://www.alpinabook.ru/catalog/book-povsednevnaya-zhizn-v-severnoy-koree","ссылка на книгу")</f>
        <v>ссылка на книгу</v>
      </c>
      <c r="Y1176" s="34" t="str">
        <f>HYPERLINK("https://api-enni.alpina.ru/FilePrivilegesApproval/175","https://api-enni.alpina.ru/FilePrivilegesApproval/175")</f>
        <v>https://api-enni.alpina.ru/FilePrivilegesApproval/175</v>
      </c>
      <c r="Z1176" s="13"/>
      <c r="AT1176" s="1">
        <f t="shared" si="193"/>
        <v>0</v>
      </c>
      <c r="AU1176" s="1">
        <f t="shared" si="194"/>
        <v>0</v>
      </c>
      <c r="AV1176" s="1">
        <f t="shared" si="195"/>
        <v>0</v>
      </c>
      <c r="AW1176" s="1">
        <f t="shared" si="196"/>
        <v>0</v>
      </c>
      <c r="AX1176" s="1">
        <f t="shared" si="197"/>
        <v>0</v>
      </c>
    </row>
    <row r="1177" spans="1:50" s="1" customFormat="1" ht="24.95" customHeight="1" outlineLevel="3" x14ac:dyDescent="0.2">
      <c r="A1177" s="26"/>
      <c r="B1177" s="27">
        <v>590</v>
      </c>
      <c r="C1177" s="27">
        <v>890</v>
      </c>
      <c r="D1177" s="27">
        <v>4757</v>
      </c>
      <c r="E1177" s="29" t="s">
        <v>3892</v>
      </c>
      <c r="F1177" s="29" t="s">
        <v>3893</v>
      </c>
      <c r="G1177" s="29" t="s">
        <v>86</v>
      </c>
      <c r="H1177" s="29"/>
      <c r="I1177" s="27">
        <v>2024</v>
      </c>
      <c r="J1177" s="29" t="s">
        <v>3894</v>
      </c>
      <c r="K1177" s="27">
        <v>9785916716924</v>
      </c>
      <c r="L1177" s="29" t="s">
        <v>3895</v>
      </c>
      <c r="M1177" s="27">
        <v>334</v>
      </c>
      <c r="N1177" s="30">
        <v>0.52</v>
      </c>
      <c r="O1177" s="27">
        <v>153</v>
      </c>
      <c r="P1177" s="27">
        <v>216</v>
      </c>
      <c r="Q1177" s="27">
        <v>7</v>
      </c>
      <c r="R1177" s="29" t="s">
        <v>43</v>
      </c>
      <c r="S1177" s="29"/>
      <c r="T1177" s="28">
        <v>1000</v>
      </c>
      <c r="U1177" s="29" t="s">
        <v>52</v>
      </c>
      <c r="V1177" s="29" t="s">
        <v>64</v>
      </c>
      <c r="W1177" s="27">
        <v>10</v>
      </c>
      <c r="X1177" s="37" t="str">
        <f>HYPERLINK("https://www.alpinabook.ru/catalog/book-singapur","ссылка на книгу")</f>
        <v>ссылка на книгу</v>
      </c>
      <c r="Y1177" s="38" t="str">
        <f>HYPERLINK("https://api-enni.alpina.ru/FilePrivilegesApproval/149","https://api-enni.alpina.ru/FilePrivilegesApproval/149")</f>
        <v>https://api-enni.alpina.ru/FilePrivilegesApproval/149</v>
      </c>
      <c r="Z1177" s="29"/>
      <c r="AT1177" s="1">
        <f t="shared" si="193"/>
        <v>0</v>
      </c>
      <c r="AU1177" s="1">
        <f t="shared" si="194"/>
        <v>0</v>
      </c>
      <c r="AV1177" s="1">
        <f t="shared" si="195"/>
        <v>0</v>
      </c>
      <c r="AW1177" s="1">
        <f t="shared" si="196"/>
        <v>0</v>
      </c>
      <c r="AX1177" s="1">
        <f t="shared" si="197"/>
        <v>0</v>
      </c>
    </row>
    <row r="1178" spans="1:50" s="1" customFormat="1" ht="24.95" customHeight="1" outlineLevel="3" x14ac:dyDescent="0.2">
      <c r="A1178" s="11"/>
      <c r="B1178" s="12">
        <v>590</v>
      </c>
      <c r="C1178" s="12">
        <v>890</v>
      </c>
      <c r="D1178" s="12">
        <v>19358</v>
      </c>
      <c r="E1178" s="13" t="s">
        <v>3896</v>
      </c>
      <c r="F1178" s="13" t="s">
        <v>3897</v>
      </c>
      <c r="G1178" s="13" t="s">
        <v>86</v>
      </c>
      <c r="H1178" s="13" t="s">
        <v>40</v>
      </c>
      <c r="I1178" s="12">
        <v>2024</v>
      </c>
      <c r="J1178" s="13" t="s">
        <v>3898</v>
      </c>
      <c r="K1178" s="12">
        <v>9785002232796</v>
      </c>
      <c r="L1178" s="13" t="s">
        <v>3899</v>
      </c>
      <c r="M1178" s="12">
        <v>302</v>
      </c>
      <c r="N1178" s="14">
        <v>0.38</v>
      </c>
      <c r="O1178" s="12">
        <v>150</v>
      </c>
      <c r="P1178" s="12">
        <v>220</v>
      </c>
      <c r="Q1178" s="12">
        <v>10</v>
      </c>
      <c r="R1178" s="13" t="s">
        <v>43</v>
      </c>
      <c r="S1178" s="13"/>
      <c r="T1178" s="15">
        <v>2000</v>
      </c>
      <c r="U1178" s="13" t="s">
        <v>52</v>
      </c>
      <c r="V1178" s="13" t="s">
        <v>89</v>
      </c>
      <c r="W1178" s="12">
        <v>10</v>
      </c>
      <c r="X1178" s="33" t="str">
        <f>HYPERLINK("https://www.alpinabook.ru/catalog/book-chto-my-delaem-v-posteli","ссылка на книгу")</f>
        <v>ссылка на книгу</v>
      </c>
      <c r="Y1178" s="34" t="str">
        <f>HYPERLINK("https://api-enni.alpina.ru/FilePrivilegesApproval/544","https://api-enni.alpina.ru/FilePrivilegesApproval/544")</f>
        <v>https://api-enni.alpina.ru/FilePrivilegesApproval/544</v>
      </c>
      <c r="Z1178" s="13"/>
      <c r="AT1178" s="1">
        <f t="shared" si="193"/>
        <v>0</v>
      </c>
      <c r="AU1178" s="1">
        <f t="shared" si="194"/>
        <v>0</v>
      </c>
      <c r="AV1178" s="1">
        <f t="shared" si="195"/>
        <v>0</v>
      </c>
      <c r="AW1178" s="1">
        <f t="shared" si="196"/>
        <v>0</v>
      </c>
      <c r="AX1178" s="1">
        <f t="shared" si="197"/>
        <v>0</v>
      </c>
    </row>
    <row r="1179" spans="1:50" ht="11.1" customHeight="1" outlineLevel="2" x14ac:dyDescent="0.2">
      <c r="A1179" s="40" t="s">
        <v>3900</v>
      </c>
      <c r="B1179" s="40"/>
      <c r="C1179" s="40"/>
      <c r="D1179" s="40"/>
      <c r="E1179" s="40"/>
      <c r="F1179" s="40"/>
      <c r="G1179" s="40"/>
      <c r="H1179" s="40"/>
      <c r="I1179" s="40"/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20"/>
    </row>
    <row r="1180" spans="1:50" s="1" customFormat="1" ht="24.95" customHeight="1" outlineLevel="3" x14ac:dyDescent="0.2">
      <c r="A1180" s="11"/>
      <c r="B1180" s="12">
        <v>790</v>
      </c>
      <c r="C1180" s="15">
        <v>1190</v>
      </c>
      <c r="D1180" s="12">
        <v>29203</v>
      </c>
      <c r="E1180" s="13" t="s">
        <v>3901</v>
      </c>
      <c r="F1180" s="13" t="s">
        <v>3902</v>
      </c>
      <c r="G1180" s="13" t="s">
        <v>86</v>
      </c>
      <c r="H1180" s="13"/>
      <c r="I1180" s="12">
        <v>2025</v>
      </c>
      <c r="J1180" s="13" t="s">
        <v>3903</v>
      </c>
      <c r="K1180" s="12">
        <v>9785002231225</v>
      </c>
      <c r="L1180" s="13" t="s">
        <v>3904</v>
      </c>
      <c r="M1180" s="12">
        <v>240</v>
      </c>
      <c r="N1180" s="14">
        <v>0.54</v>
      </c>
      <c r="O1180" s="12">
        <v>170</v>
      </c>
      <c r="P1180" s="12">
        <v>220</v>
      </c>
      <c r="Q1180" s="12">
        <v>8</v>
      </c>
      <c r="R1180" s="13" t="s">
        <v>100</v>
      </c>
      <c r="S1180" s="13"/>
      <c r="T1180" s="15">
        <v>3000</v>
      </c>
      <c r="U1180" s="13" t="s">
        <v>52</v>
      </c>
      <c r="V1180" s="13" t="s">
        <v>59</v>
      </c>
      <c r="W1180" s="12">
        <v>10</v>
      </c>
      <c r="X1180" s="33" t="str">
        <f>HYPERLINK("https://www.alpinabook.ru/catalog/book-stikhi-i-veshchi","ссылка на книгу")</f>
        <v>ссылка на книгу</v>
      </c>
      <c r="Y1180" s="34" t="str">
        <f>HYPERLINK("https://api-enni.alpina.ru/FilePrivilegesApproval/763","https://api-enni.alpina.ru/FilePrivilegesApproval/763")</f>
        <v>https://api-enni.alpina.ru/FilePrivilegesApproval/763</v>
      </c>
      <c r="Z1180" s="13"/>
      <c r="AT1180" s="1">
        <f>IF($A1180&lt;&gt;0,1,0)</f>
        <v>0</v>
      </c>
      <c r="AU1180" s="1">
        <f>$A1180*$B1180</f>
        <v>0</v>
      </c>
      <c r="AV1180" s="1">
        <f>$A1180*$N1180</f>
        <v>0</v>
      </c>
      <c r="AW1180" s="1">
        <f>IF($Q1180=0,0,INT($A1180/$Q1180))</f>
        <v>0</v>
      </c>
      <c r="AX1180" s="1">
        <f>$A1180-$AW1180*$Q1180</f>
        <v>0</v>
      </c>
    </row>
    <row r="1181" spans="1:50" ht="11.1" customHeight="1" outlineLevel="2" x14ac:dyDescent="0.2">
      <c r="A1181" s="40" t="s">
        <v>3905</v>
      </c>
      <c r="B1181" s="40"/>
      <c r="C1181" s="40"/>
      <c r="D1181" s="40"/>
      <c r="E1181" s="40"/>
      <c r="F1181" s="40"/>
      <c r="G1181" s="40"/>
      <c r="H1181" s="40"/>
      <c r="I1181" s="40"/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20"/>
    </row>
    <row r="1182" spans="1:50" s="1" customFormat="1" ht="24.95" customHeight="1" outlineLevel="3" x14ac:dyDescent="0.2">
      <c r="A1182" s="11"/>
      <c r="B1182" s="12">
        <v>790</v>
      </c>
      <c r="C1182" s="15">
        <v>1190</v>
      </c>
      <c r="D1182" s="12">
        <v>24111</v>
      </c>
      <c r="E1182" s="13" t="s">
        <v>3906</v>
      </c>
      <c r="F1182" s="13" t="s">
        <v>3907</v>
      </c>
      <c r="G1182" s="13" t="s">
        <v>86</v>
      </c>
      <c r="H1182" s="13" t="s">
        <v>40</v>
      </c>
      <c r="I1182" s="12">
        <v>2024</v>
      </c>
      <c r="J1182" s="13" t="s">
        <v>3908</v>
      </c>
      <c r="K1182" s="12">
        <v>9785001398707</v>
      </c>
      <c r="L1182" s="13" t="s">
        <v>3909</v>
      </c>
      <c r="M1182" s="12">
        <v>332</v>
      </c>
      <c r="N1182" s="14">
        <v>0.28999999999999998</v>
      </c>
      <c r="O1182" s="12">
        <v>140</v>
      </c>
      <c r="P1182" s="12">
        <v>210</v>
      </c>
      <c r="Q1182" s="12">
        <v>10</v>
      </c>
      <c r="R1182" s="13" t="s">
        <v>43</v>
      </c>
      <c r="S1182" s="13"/>
      <c r="T1182" s="15">
        <v>3000</v>
      </c>
      <c r="U1182" s="13" t="s">
        <v>44</v>
      </c>
      <c r="V1182" s="13" t="s">
        <v>45</v>
      </c>
      <c r="W1182" s="12">
        <v>10</v>
      </c>
      <c r="X1182" s="33" t="str">
        <f>HYPERLINK("https://www.alpinabook.ru/catalog/book-s-nami-ili-bez-nas","ссылка на книгу")</f>
        <v>ссылка на книгу</v>
      </c>
      <c r="Y1182" s="34" t="str">
        <f>HYPERLINK("https://api-enni.alpina.ru/FilePrivilegesApproval/386","https://api-enni.alpina.ru/FilePrivilegesApproval/386")</f>
        <v>https://api-enni.alpina.ru/FilePrivilegesApproval/386</v>
      </c>
      <c r="Z1182" s="13"/>
      <c r="AT1182" s="1">
        <f>IF($A1182&lt;&gt;0,1,0)</f>
        <v>0</v>
      </c>
      <c r="AU1182" s="1">
        <f>$A1182*$B1182</f>
        <v>0</v>
      </c>
      <c r="AV1182" s="1">
        <f>$A1182*$N1182</f>
        <v>0</v>
      </c>
      <c r="AW1182" s="1">
        <f>IF($Q1182=0,0,INT($A1182/$Q1182))</f>
        <v>0</v>
      </c>
      <c r="AX1182" s="1">
        <f>$A1182-$AW1182*$Q1182</f>
        <v>0</v>
      </c>
    </row>
    <row r="1183" spans="1:50" ht="11.1" customHeight="1" outlineLevel="2" x14ac:dyDescent="0.2">
      <c r="A1183" s="40" t="s">
        <v>3910</v>
      </c>
      <c r="B1183" s="40"/>
      <c r="C1183" s="40"/>
      <c r="D1183" s="40"/>
      <c r="E1183" s="40"/>
      <c r="F1183" s="40"/>
      <c r="G1183" s="40"/>
      <c r="H1183" s="40"/>
      <c r="I1183" s="40"/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20"/>
    </row>
    <row r="1184" spans="1:50" s="1" customFormat="1" ht="24.95" customHeight="1" outlineLevel="3" x14ac:dyDescent="0.2">
      <c r="A1184" s="11"/>
      <c r="B1184" s="12">
        <v>990</v>
      </c>
      <c r="C1184" s="15">
        <v>1490</v>
      </c>
      <c r="D1184" s="12">
        <v>11140</v>
      </c>
      <c r="E1184" s="13" t="s">
        <v>3911</v>
      </c>
      <c r="F1184" s="13" t="s">
        <v>3912</v>
      </c>
      <c r="G1184" s="13" t="s">
        <v>56</v>
      </c>
      <c r="H1184" s="13"/>
      <c r="I1184" s="12">
        <v>2025</v>
      </c>
      <c r="J1184" s="13" t="s">
        <v>3913</v>
      </c>
      <c r="K1184" s="12">
        <v>9785961413984</v>
      </c>
      <c r="L1184" s="13" t="s">
        <v>3914</v>
      </c>
      <c r="M1184" s="12">
        <v>696</v>
      </c>
      <c r="N1184" s="14">
        <v>1.07</v>
      </c>
      <c r="O1184" s="12">
        <v>170</v>
      </c>
      <c r="P1184" s="12">
        <v>250</v>
      </c>
      <c r="Q1184" s="12">
        <v>3</v>
      </c>
      <c r="R1184" s="13" t="s">
        <v>94</v>
      </c>
      <c r="S1184" s="13"/>
      <c r="T1184" s="15">
        <v>3000</v>
      </c>
      <c r="U1184" s="13" t="s">
        <v>52</v>
      </c>
      <c r="V1184" s="13" t="s">
        <v>45</v>
      </c>
      <c r="W1184" s="12">
        <v>10</v>
      </c>
      <c r="X1184" s="33" t="str">
        <f>HYPERLINK("https://www.alpinabook.ru/catalog/book-100-rasskazov-iz-istorii-meditsiny","ссылка на книгу")</f>
        <v>ссылка на книгу</v>
      </c>
      <c r="Y1184" s="34" t="str">
        <f>HYPERLINK("https://api-enni.alpina.ru/FilePrivilegesApproval/124","https://api-enni.alpina.ru/FilePrivilegesApproval/124")</f>
        <v>https://api-enni.alpina.ru/FilePrivilegesApproval/124</v>
      </c>
      <c r="Z1184" s="13" t="s">
        <v>70</v>
      </c>
      <c r="AT1184" s="1">
        <f t="shared" ref="AT1184:AT1204" si="198">IF($A1184&lt;&gt;0,1,0)</f>
        <v>0</v>
      </c>
      <c r="AU1184" s="1">
        <f t="shared" ref="AU1184:AU1204" si="199">$A1184*$B1184</f>
        <v>0</v>
      </c>
      <c r="AV1184" s="1">
        <f t="shared" ref="AV1184:AV1204" si="200">$A1184*$N1184</f>
        <v>0</v>
      </c>
      <c r="AW1184" s="1">
        <f t="shared" ref="AW1184:AW1204" si="201">IF($Q1184=0,0,INT($A1184/$Q1184))</f>
        <v>0</v>
      </c>
      <c r="AX1184" s="1">
        <f t="shared" ref="AX1184:AX1204" si="202">$A1184-$AW1184*$Q1184</f>
        <v>0</v>
      </c>
    </row>
    <row r="1185" spans="1:50" s="1" customFormat="1" ht="24.95" customHeight="1" outlineLevel="3" x14ac:dyDescent="0.2">
      <c r="A1185" s="11"/>
      <c r="B1185" s="12">
        <v>590</v>
      </c>
      <c r="C1185" s="12">
        <v>840</v>
      </c>
      <c r="D1185" s="12">
        <v>17981</v>
      </c>
      <c r="E1185" s="13" t="s">
        <v>3915</v>
      </c>
      <c r="F1185" s="13" t="s">
        <v>3916</v>
      </c>
      <c r="G1185" s="13" t="s">
        <v>56</v>
      </c>
      <c r="H1185" s="13" t="s">
        <v>40</v>
      </c>
      <c r="I1185" s="12">
        <v>2024</v>
      </c>
      <c r="J1185" s="13" t="s">
        <v>3917</v>
      </c>
      <c r="K1185" s="12">
        <v>9785961432725</v>
      </c>
      <c r="L1185" s="13" t="s">
        <v>3918</v>
      </c>
      <c r="M1185" s="12">
        <v>448</v>
      </c>
      <c r="N1185" s="14">
        <v>0.64</v>
      </c>
      <c r="O1185" s="12">
        <v>150</v>
      </c>
      <c r="P1185" s="12">
        <v>220</v>
      </c>
      <c r="Q1185" s="12">
        <v>10</v>
      </c>
      <c r="R1185" s="13" t="s">
        <v>43</v>
      </c>
      <c r="S1185" s="13"/>
      <c r="T1185" s="15">
        <v>3000</v>
      </c>
      <c r="U1185" s="13" t="s">
        <v>52</v>
      </c>
      <c r="V1185" s="13" t="s">
        <v>45</v>
      </c>
      <c r="W1185" s="12">
        <v>10</v>
      </c>
      <c r="X1185" s="33" t="str">
        <f>HYPERLINK("https://www.alpinabook.ru/catalog/book-allergiya","ссылка на книгу")</f>
        <v>ссылка на книгу</v>
      </c>
      <c r="Y1185" s="34" t="str">
        <f>HYPERLINK("https://api-enni.alpina.ru/FilePrivilegesApproval/302","https://api-enni.alpina.ru/FilePrivilegesApproval/302")</f>
        <v>https://api-enni.alpina.ru/FilePrivilegesApproval/302</v>
      </c>
      <c r="Z1185" s="13"/>
      <c r="AT1185" s="1">
        <f t="shared" si="198"/>
        <v>0</v>
      </c>
      <c r="AU1185" s="1">
        <f t="shared" si="199"/>
        <v>0</v>
      </c>
      <c r="AV1185" s="1">
        <f t="shared" si="200"/>
        <v>0</v>
      </c>
      <c r="AW1185" s="1">
        <f t="shared" si="201"/>
        <v>0</v>
      </c>
      <c r="AX1185" s="1">
        <f t="shared" si="202"/>
        <v>0</v>
      </c>
    </row>
    <row r="1186" spans="1:50" s="1" customFormat="1" ht="24.95" customHeight="1" outlineLevel="3" x14ac:dyDescent="0.2">
      <c r="A1186" s="11"/>
      <c r="B1186" s="12">
        <v>690</v>
      </c>
      <c r="C1186" s="12">
        <v>990</v>
      </c>
      <c r="D1186" s="12">
        <v>20674</v>
      </c>
      <c r="E1186" s="13" t="s">
        <v>3919</v>
      </c>
      <c r="F1186" s="13" t="s">
        <v>3920</v>
      </c>
      <c r="G1186" s="13" t="s">
        <v>86</v>
      </c>
      <c r="H1186" s="13" t="s">
        <v>40</v>
      </c>
      <c r="I1186" s="12">
        <v>2024</v>
      </c>
      <c r="J1186" s="13" t="s">
        <v>3921</v>
      </c>
      <c r="K1186" s="12">
        <v>9785002230945</v>
      </c>
      <c r="L1186" s="13" t="s">
        <v>3922</v>
      </c>
      <c r="M1186" s="12">
        <v>448</v>
      </c>
      <c r="N1186" s="14">
        <v>0.52</v>
      </c>
      <c r="O1186" s="12">
        <v>150</v>
      </c>
      <c r="P1186" s="12">
        <v>220</v>
      </c>
      <c r="Q1186" s="12">
        <v>8</v>
      </c>
      <c r="R1186" s="13" t="s">
        <v>43</v>
      </c>
      <c r="S1186" s="13"/>
      <c r="T1186" s="15">
        <v>2000</v>
      </c>
      <c r="U1186" s="13" t="s">
        <v>52</v>
      </c>
      <c r="V1186" s="13" t="s">
        <v>59</v>
      </c>
      <c r="W1186" s="12">
        <v>10</v>
      </c>
      <c r="X1186" s="33" t="str">
        <f>HYPERLINK("https://www.alpinabook.ru/catalog/book-bessmertnaya-zhizn-genrietty-laks","ссылка на книгу")</f>
        <v>ссылка на книгу</v>
      </c>
      <c r="Y1186" s="34" t="str">
        <f>HYPERLINK("https://api-enni.alpina.ru/FilePrivilegesApproval/317","https://api-enni.alpina.ru/FilePrivilegesApproval/317")</f>
        <v>https://api-enni.alpina.ru/FilePrivilegesApproval/317</v>
      </c>
      <c r="Z1186" s="13"/>
      <c r="AT1186" s="1">
        <f t="shared" si="198"/>
        <v>0</v>
      </c>
      <c r="AU1186" s="1">
        <f t="shared" si="199"/>
        <v>0</v>
      </c>
      <c r="AV1186" s="1">
        <f t="shared" si="200"/>
        <v>0</v>
      </c>
      <c r="AW1186" s="1">
        <f t="shared" si="201"/>
        <v>0</v>
      </c>
      <c r="AX1186" s="1">
        <f t="shared" si="202"/>
        <v>0</v>
      </c>
    </row>
    <row r="1187" spans="1:50" s="1" customFormat="1" ht="24.95" customHeight="1" outlineLevel="3" x14ac:dyDescent="0.2">
      <c r="A1187" s="11"/>
      <c r="B1187" s="12">
        <v>640</v>
      </c>
      <c r="C1187" s="12">
        <v>940</v>
      </c>
      <c r="D1187" s="12">
        <v>24713</v>
      </c>
      <c r="E1187" s="13" t="s">
        <v>3923</v>
      </c>
      <c r="F1187" s="13" t="s">
        <v>3924</v>
      </c>
      <c r="G1187" s="13" t="s">
        <v>56</v>
      </c>
      <c r="H1187" s="13" t="s">
        <v>40</v>
      </c>
      <c r="I1187" s="12">
        <v>2023</v>
      </c>
      <c r="J1187" s="13" t="s">
        <v>3925</v>
      </c>
      <c r="K1187" s="12">
        <v>9785961476972</v>
      </c>
      <c r="L1187" s="13" t="s">
        <v>3926</v>
      </c>
      <c r="M1187" s="12">
        <v>224</v>
      </c>
      <c r="N1187" s="14">
        <v>0.37</v>
      </c>
      <c r="O1187" s="12">
        <v>150</v>
      </c>
      <c r="P1187" s="12">
        <v>220</v>
      </c>
      <c r="Q1187" s="12">
        <v>20</v>
      </c>
      <c r="R1187" s="13" t="s">
        <v>43</v>
      </c>
      <c r="S1187" s="13"/>
      <c r="T1187" s="15">
        <v>2500</v>
      </c>
      <c r="U1187" s="13" t="s">
        <v>52</v>
      </c>
      <c r="V1187" s="13" t="s">
        <v>59</v>
      </c>
      <c r="W1187" s="12">
        <v>10</v>
      </c>
      <c r="X1187" s="33" t="str">
        <f>HYPERLINK("https://www.alpinabook.ru/catalog/book-v-molekule-ot-bezumiya","ссылка на книгу")</f>
        <v>ссылка на книгу</v>
      </c>
      <c r="Y1187" s="34" t="str">
        <f>HYPERLINK("https://api-enni.alpina.ru/FilePrivilegesApproval/177","https://api-enni.alpina.ru/FilePrivilegesApproval/177")</f>
        <v>https://api-enni.alpina.ru/FilePrivilegesApproval/177</v>
      </c>
      <c r="Z1187" s="13"/>
      <c r="AT1187" s="1">
        <f t="shared" si="198"/>
        <v>0</v>
      </c>
      <c r="AU1187" s="1">
        <f t="shared" si="199"/>
        <v>0</v>
      </c>
      <c r="AV1187" s="1">
        <f t="shared" si="200"/>
        <v>0</v>
      </c>
      <c r="AW1187" s="1">
        <f t="shared" si="201"/>
        <v>0</v>
      </c>
      <c r="AX1187" s="1">
        <f t="shared" si="202"/>
        <v>0</v>
      </c>
    </row>
    <row r="1188" spans="1:50" s="1" customFormat="1" ht="24.95" customHeight="1" outlineLevel="3" x14ac:dyDescent="0.2">
      <c r="A1188" s="11"/>
      <c r="B1188" s="12">
        <v>640</v>
      </c>
      <c r="C1188" s="12">
        <v>940</v>
      </c>
      <c r="D1188" s="12">
        <v>28024</v>
      </c>
      <c r="E1188" s="13" t="s">
        <v>3927</v>
      </c>
      <c r="F1188" s="13" t="s">
        <v>3928</v>
      </c>
      <c r="G1188" s="13" t="s">
        <v>56</v>
      </c>
      <c r="H1188" s="13"/>
      <c r="I1188" s="12">
        <v>2024</v>
      </c>
      <c r="J1188" s="13" t="s">
        <v>3929</v>
      </c>
      <c r="K1188" s="12">
        <v>9785961487053</v>
      </c>
      <c r="L1188" s="13" t="s">
        <v>3930</v>
      </c>
      <c r="M1188" s="12">
        <v>330</v>
      </c>
      <c r="N1188" s="14">
        <v>0.38</v>
      </c>
      <c r="O1188" s="12">
        <v>150</v>
      </c>
      <c r="P1188" s="12">
        <v>220</v>
      </c>
      <c r="Q1188" s="12">
        <v>8</v>
      </c>
      <c r="R1188" s="13" t="s">
        <v>43</v>
      </c>
      <c r="S1188" s="13"/>
      <c r="T1188" s="15">
        <v>2000</v>
      </c>
      <c r="U1188" s="13" t="s">
        <v>52</v>
      </c>
      <c r="V1188" s="13" t="s">
        <v>45</v>
      </c>
      <c r="W1188" s="12">
        <v>10</v>
      </c>
      <c r="X1188" s="33" t="str">
        <f>HYPERLINK("https://www.alpinabook.ru/catalog/book-vsye-o-grudi","ссылка на книгу")</f>
        <v>ссылка на книгу</v>
      </c>
      <c r="Y1188" s="34" t="str">
        <f>HYPERLINK("https://api-enni.alpina.ru/FilePrivilegesApproval/363","https://api-enni.alpina.ru/FilePrivilegesApproval/363")</f>
        <v>https://api-enni.alpina.ru/FilePrivilegesApproval/363</v>
      </c>
      <c r="Z1188" s="13"/>
      <c r="AT1188" s="1">
        <f t="shared" si="198"/>
        <v>0</v>
      </c>
      <c r="AU1188" s="1">
        <f t="shared" si="199"/>
        <v>0</v>
      </c>
      <c r="AV1188" s="1">
        <f t="shared" si="200"/>
        <v>0</v>
      </c>
      <c r="AW1188" s="1">
        <f t="shared" si="201"/>
        <v>0</v>
      </c>
      <c r="AX1188" s="1">
        <f t="shared" si="202"/>
        <v>0</v>
      </c>
    </row>
    <row r="1189" spans="1:50" s="1" customFormat="1" ht="24.95" customHeight="1" outlineLevel="3" x14ac:dyDescent="0.2">
      <c r="A1189" s="11"/>
      <c r="B1189" s="12">
        <v>590</v>
      </c>
      <c r="C1189" s="12">
        <v>590</v>
      </c>
      <c r="D1189" s="12">
        <v>19478</v>
      </c>
      <c r="E1189" s="13" t="s">
        <v>3931</v>
      </c>
      <c r="F1189" s="13" t="s">
        <v>3932</v>
      </c>
      <c r="G1189" s="13" t="s">
        <v>56</v>
      </c>
      <c r="H1189" s="13" t="s">
        <v>40</v>
      </c>
      <c r="I1189" s="12">
        <v>2022</v>
      </c>
      <c r="J1189" s="13" t="s">
        <v>3933</v>
      </c>
      <c r="K1189" s="12">
        <v>9785961464443</v>
      </c>
      <c r="L1189" s="13" t="s">
        <v>3934</v>
      </c>
      <c r="M1189" s="12">
        <v>310</v>
      </c>
      <c r="N1189" s="14">
        <v>0.46</v>
      </c>
      <c r="O1189" s="12">
        <v>146</v>
      </c>
      <c r="P1189" s="12">
        <v>216</v>
      </c>
      <c r="Q1189" s="12">
        <v>12</v>
      </c>
      <c r="R1189" s="13" t="s">
        <v>43</v>
      </c>
      <c r="S1189" s="13"/>
      <c r="T1189" s="15">
        <v>1500</v>
      </c>
      <c r="U1189" s="13" t="s">
        <v>52</v>
      </c>
      <c r="V1189" s="13" t="s">
        <v>89</v>
      </c>
      <c r="W1189" s="12">
        <v>10</v>
      </c>
      <c r="X1189" s="33" t="str">
        <f>HYPERLINK("https://www.alpinabook.ru/catalog/book-golovy-professora-whita","ссылка на книгу")</f>
        <v>ссылка на книгу</v>
      </c>
      <c r="Y1189" s="34" t="str">
        <f>HYPERLINK("https://api-enni.alpina.ru/FilePrivilegesApproval/135","https://api-enni.alpina.ru/FilePrivilegesApproval/135")</f>
        <v>https://api-enni.alpina.ru/FilePrivilegesApproval/135</v>
      </c>
      <c r="Z1189" s="13"/>
      <c r="AT1189" s="1">
        <f t="shared" si="198"/>
        <v>0</v>
      </c>
      <c r="AU1189" s="1">
        <f t="shared" si="199"/>
        <v>0</v>
      </c>
      <c r="AV1189" s="1">
        <f t="shared" si="200"/>
        <v>0</v>
      </c>
      <c r="AW1189" s="1">
        <f t="shared" si="201"/>
        <v>0</v>
      </c>
      <c r="AX1189" s="1">
        <f t="shared" si="202"/>
        <v>0</v>
      </c>
    </row>
    <row r="1190" spans="1:50" s="1" customFormat="1" ht="24.95" customHeight="1" outlineLevel="3" x14ac:dyDescent="0.2">
      <c r="A1190" s="11"/>
      <c r="B1190" s="12">
        <v>490</v>
      </c>
      <c r="C1190" s="12">
        <v>740</v>
      </c>
      <c r="D1190" s="12">
        <v>25640</v>
      </c>
      <c r="E1190" s="13" t="s">
        <v>3935</v>
      </c>
      <c r="F1190" s="13" t="s">
        <v>3936</v>
      </c>
      <c r="G1190" s="13" t="s">
        <v>56</v>
      </c>
      <c r="H1190" s="13"/>
      <c r="I1190" s="12">
        <v>2023</v>
      </c>
      <c r="J1190" s="13" t="s">
        <v>3937</v>
      </c>
      <c r="K1190" s="12">
        <v>9785961478266</v>
      </c>
      <c r="L1190" s="13" t="s">
        <v>3938</v>
      </c>
      <c r="M1190" s="12">
        <v>208</v>
      </c>
      <c r="N1190" s="14">
        <v>0.26</v>
      </c>
      <c r="O1190" s="12">
        <v>140</v>
      </c>
      <c r="P1190" s="12">
        <v>210</v>
      </c>
      <c r="Q1190" s="12">
        <v>20</v>
      </c>
      <c r="R1190" s="13" t="s">
        <v>43</v>
      </c>
      <c r="S1190" s="13"/>
      <c r="T1190" s="15">
        <v>2000</v>
      </c>
      <c r="U1190" s="13" t="s">
        <v>44</v>
      </c>
      <c r="V1190" s="13" t="s">
        <v>59</v>
      </c>
      <c r="W1190" s="12">
        <v>10</v>
      </c>
      <c r="X1190" s="33" t="str">
        <f>HYPERLINK("https://www.alpinabook.ru/catalog/book-dyshite-nosom","ссылка на книгу")</f>
        <v>ссылка на книгу</v>
      </c>
      <c r="Y1190" s="34" t="str">
        <f>HYPERLINK("https://api-enni.alpina.ru/FilePrivilegesApproval/296","https://api-enni.alpina.ru/FilePrivilegesApproval/296")</f>
        <v>https://api-enni.alpina.ru/FilePrivilegesApproval/296</v>
      </c>
      <c r="Z1190" s="13"/>
      <c r="AT1190" s="1">
        <f t="shared" si="198"/>
        <v>0</v>
      </c>
      <c r="AU1190" s="1">
        <f t="shared" si="199"/>
        <v>0</v>
      </c>
      <c r="AV1190" s="1">
        <f t="shared" si="200"/>
        <v>0</v>
      </c>
      <c r="AW1190" s="1">
        <f t="shared" si="201"/>
        <v>0</v>
      </c>
      <c r="AX1190" s="1">
        <f t="shared" si="202"/>
        <v>0</v>
      </c>
    </row>
    <row r="1191" spans="1:50" s="1" customFormat="1" ht="24.95" customHeight="1" outlineLevel="3" x14ac:dyDescent="0.2">
      <c r="A1191" s="11"/>
      <c r="B1191" s="12">
        <v>690</v>
      </c>
      <c r="C1191" s="12">
        <v>990</v>
      </c>
      <c r="D1191" s="12">
        <v>28755</v>
      </c>
      <c r="E1191" s="13" t="s">
        <v>3939</v>
      </c>
      <c r="F1191" s="13" t="s">
        <v>3940</v>
      </c>
      <c r="G1191" s="13" t="s">
        <v>56</v>
      </c>
      <c r="H1191" s="13"/>
      <c r="I1191" s="12">
        <v>2024</v>
      </c>
      <c r="J1191" s="13" t="s">
        <v>3941</v>
      </c>
      <c r="K1191" s="12">
        <v>9785961489958</v>
      </c>
      <c r="L1191" s="13" t="s">
        <v>3942</v>
      </c>
      <c r="M1191" s="12">
        <v>220</v>
      </c>
      <c r="N1191" s="14">
        <v>0.44</v>
      </c>
      <c r="O1191" s="12">
        <v>150</v>
      </c>
      <c r="P1191" s="12">
        <v>220</v>
      </c>
      <c r="Q1191" s="12">
        <v>14</v>
      </c>
      <c r="R1191" s="13" t="s">
        <v>43</v>
      </c>
      <c r="S1191" s="13"/>
      <c r="T1191" s="15">
        <v>2000</v>
      </c>
      <c r="U1191" s="13" t="s">
        <v>52</v>
      </c>
      <c r="V1191" s="13" t="s">
        <v>45</v>
      </c>
      <c r="W1191" s="12">
        <v>10</v>
      </c>
      <c r="X1191" s="33" t="str">
        <f>HYPERLINK("https://www.alpinabook.ru/catalog/book-zhelannyy-rebenok","ссылка на книгу")</f>
        <v>ссылка на книгу</v>
      </c>
      <c r="Y1191" s="34" t="str">
        <f>HYPERLINK("https://api-enni.alpina.ru/FilePrivilegesApproval/371","https://api-enni.alpina.ru/FilePrivilegesApproval/371")</f>
        <v>https://api-enni.alpina.ru/FilePrivilegesApproval/371</v>
      </c>
      <c r="Z1191" s="13"/>
      <c r="AT1191" s="1">
        <f t="shared" si="198"/>
        <v>0</v>
      </c>
      <c r="AU1191" s="1">
        <f t="shared" si="199"/>
        <v>0</v>
      </c>
      <c r="AV1191" s="1">
        <f t="shared" si="200"/>
        <v>0</v>
      </c>
      <c r="AW1191" s="1">
        <f t="shared" si="201"/>
        <v>0</v>
      </c>
      <c r="AX1191" s="1">
        <f t="shared" si="202"/>
        <v>0</v>
      </c>
    </row>
    <row r="1192" spans="1:50" s="1" customFormat="1" ht="24.95" customHeight="1" outlineLevel="3" x14ac:dyDescent="0.2">
      <c r="A1192" s="11"/>
      <c r="B1192" s="12">
        <v>340</v>
      </c>
      <c r="C1192" s="12">
        <v>540</v>
      </c>
      <c r="D1192" s="12">
        <v>30574</v>
      </c>
      <c r="E1192" s="13" t="s">
        <v>3943</v>
      </c>
      <c r="F1192" s="13" t="s">
        <v>3944</v>
      </c>
      <c r="G1192" s="13" t="s">
        <v>56</v>
      </c>
      <c r="H1192" s="13" t="s">
        <v>40</v>
      </c>
      <c r="I1192" s="12">
        <v>2024</v>
      </c>
      <c r="J1192" s="13" t="s">
        <v>3945</v>
      </c>
      <c r="K1192" s="12">
        <v>9785961495898</v>
      </c>
      <c r="L1192" s="13" t="s">
        <v>3946</v>
      </c>
      <c r="M1192" s="12">
        <v>266</v>
      </c>
      <c r="N1192" s="14">
        <v>0.18</v>
      </c>
      <c r="O1192" s="12">
        <v>120</v>
      </c>
      <c r="P1192" s="12">
        <v>170</v>
      </c>
      <c r="Q1192" s="12">
        <v>20</v>
      </c>
      <c r="R1192" s="13" t="s">
        <v>75</v>
      </c>
      <c r="S1192" s="13" t="s">
        <v>1317</v>
      </c>
      <c r="T1192" s="15">
        <v>2000</v>
      </c>
      <c r="U1192" s="13" t="s">
        <v>44</v>
      </c>
      <c r="V1192" s="13" t="s">
        <v>45</v>
      </c>
      <c r="W1192" s="12">
        <v>10</v>
      </c>
      <c r="X1192" s="33" t="str">
        <f>HYPERLINK("https://www.alpinabook.ru/catalog/book-zhizn-vzaymy","ссылка на книгу")</f>
        <v>ссылка на книгу</v>
      </c>
      <c r="Y1192" s="34" t="str">
        <f>HYPERLINK("https://api-enni.alpina.ru/FilePrivilegesApproval/405","https://api-enni.alpina.ru/FilePrivilegesApproval/405")</f>
        <v>https://api-enni.alpina.ru/FilePrivilegesApproval/405</v>
      </c>
      <c r="Z1192" s="13"/>
      <c r="AT1192" s="1">
        <f t="shared" si="198"/>
        <v>0</v>
      </c>
      <c r="AU1192" s="1">
        <f t="shared" si="199"/>
        <v>0</v>
      </c>
      <c r="AV1192" s="1">
        <f t="shared" si="200"/>
        <v>0</v>
      </c>
      <c r="AW1192" s="1">
        <f t="shared" si="201"/>
        <v>0</v>
      </c>
      <c r="AX1192" s="1">
        <f t="shared" si="202"/>
        <v>0</v>
      </c>
    </row>
    <row r="1193" spans="1:50" s="1" customFormat="1" ht="24.95" customHeight="1" outlineLevel="3" x14ac:dyDescent="0.2">
      <c r="A1193" s="11"/>
      <c r="B1193" s="12">
        <v>640</v>
      </c>
      <c r="C1193" s="12">
        <v>990</v>
      </c>
      <c r="D1193" s="12">
        <v>28073</v>
      </c>
      <c r="E1193" s="13" t="s">
        <v>3947</v>
      </c>
      <c r="F1193" s="13" t="s">
        <v>3948</v>
      </c>
      <c r="G1193" s="13" t="s">
        <v>86</v>
      </c>
      <c r="H1193" s="13"/>
      <c r="I1193" s="12">
        <v>2025</v>
      </c>
      <c r="J1193" s="13" t="s">
        <v>3949</v>
      </c>
      <c r="K1193" s="12">
        <v>9785001399926</v>
      </c>
      <c r="L1193" s="13" t="s">
        <v>3950</v>
      </c>
      <c r="M1193" s="12">
        <v>304</v>
      </c>
      <c r="N1193" s="14">
        <v>0.38</v>
      </c>
      <c r="O1193" s="12">
        <v>140</v>
      </c>
      <c r="P1193" s="12">
        <v>210</v>
      </c>
      <c r="Q1193" s="12">
        <v>16</v>
      </c>
      <c r="R1193" s="13" t="s">
        <v>43</v>
      </c>
      <c r="S1193" s="13"/>
      <c r="T1193" s="15">
        <v>3000</v>
      </c>
      <c r="U1193" s="13" t="s">
        <v>44</v>
      </c>
      <c r="V1193" s="13" t="s">
        <v>89</v>
      </c>
      <c r="W1193" s="12">
        <v>10</v>
      </c>
      <c r="X1193" s="33" t="str">
        <f>HYPERLINK("https://www.alpinabook.ru/catalog/book-zavisimost-i-ee-chelovek","ссылка на книгу")</f>
        <v>ссылка на книгу</v>
      </c>
      <c r="Y1193" s="34" t="str">
        <f>HYPERLINK("https://api-enni.alpina.ru/FilePrivilegesApproval/412","https://api-enni.alpina.ru/FilePrivilegesApproval/412")</f>
        <v>https://api-enni.alpina.ru/FilePrivilegesApproval/412</v>
      </c>
      <c r="Z1193" s="13" t="s">
        <v>1413</v>
      </c>
      <c r="AT1193" s="1">
        <f t="shared" si="198"/>
        <v>0</v>
      </c>
      <c r="AU1193" s="1">
        <f t="shared" si="199"/>
        <v>0</v>
      </c>
      <c r="AV1193" s="1">
        <f t="shared" si="200"/>
        <v>0</v>
      </c>
      <c r="AW1193" s="1">
        <f t="shared" si="201"/>
        <v>0</v>
      </c>
      <c r="AX1193" s="1">
        <f t="shared" si="202"/>
        <v>0</v>
      </c>
    </row>
    <row r="1194" spans="1:50" s="1" customFormat="1" ht="24.95" customHeight="1" outlineLevel="3" x14ac:dyDescent="0.2">
      <c r="A1194" s="11"/>
      <c r="B1194" s="12">
        <v>340</v>
      </c>
      <c r="C1194" s="12">
        <v>540</v>
      </c>
      <c r="D1194" s="12">
        <v>30744</v>
      </c>
      <c r="E1194" s="13" t="s">
        <v>3951</v>
      </c>
      <c r="F1194" s="13" t="s">
        <v>3952</v>
      </c>
      <c r="G1194" s="13" t="s">
        <v>56</v>
      </c>
      <c r="H1194" s="13" t="s">
        <v>40</v>
      </c>
      <c r="I1194" s="12">
        <v>2025</v>
      </c>
      <c r="J1194" s="13" t="s">
        <v>3953</v>
      </c>
      <c r="K1194" s="12">
        <v>9785961496413</v>
      </c>
      <c r="L1194" s="13" t="s">
        <v>3954</v>
      </c>
      <c r="M1194" s="12">
        <v>262</v>
      </c>
      <c r="N1194" s="14">
        <v>0.18</v>
      </c>
      <c r="O1194" s="12">
        <v>120</v>
      </c>
      <c r="P1194" s="12">
        <v>170</v>
      </c>
      <c r="Q1194" s="12">
        <v>20</v>
      </c>
      <c r="R1194" s="13" t="s">
        <v>75</v>
      </c>
      <c r="S1194" s="13" t="s">
        <v>1317</v>
      </c>
      <c r="T1194" s="15">
        <v>3000</v>
      </c>
      <c r="U1194" s="13" t="s">
        <v>44</v>
      </c>
      <c r="V1194" s="13" t="s">
        <v>45</v>
      </c>
      <c r="W1194" s="12">
        <v>10</v>
      </c>
      <c r="X1194" s="33" t="str">
        <f>HYPERLINK("https://www.alpinabook.ru/catalog/book-krizisy-lichnykh-otnosheniy","ссылка на книгу")</f>
        <v>ссылка на книгу</v>
      </c>
      <c r="Y1194" s="34" t="str">
        <f>HYPERLINK("https://api-enni.alpina.ru/FilePrivilegesApproval/405","https://api-enni.alpina.ru/FilePrivilegesApproval/405")</f>
        <v>https://api-enni.alpina.ru/FilePrivilegesApproval/405</v>
      </c>
      <c r="Z1194" s="13" t="s">
        <v>865</v>
      </c>
      <c r="AT1194" s="1">
        <f t="shared" si="198"/>
        <v>0</v>
      </c>
      <c r="AU1194" s="1">
        <f t="shared" si="199"/>
        <v>0</v>
      </c>
      <c r="AV1194" s="1">
        <f t="shared" si="200"/>
        <v>0</v>
      </c>
      <c r="AW1194" s="1">
        <f t="shared" si="201"/>
        <v>0</v>
      </c>
      <c r="AX1194" s="1">
        <f t="shared" si="202"/>
        <v>0</v>
      </c>
    </row>
    <row r="1195" spans="1:50" s="1" customFormat="1" ht="24.95" customHeight="1" outlineLevel="3" x14ac:dyDescent="0.2">
      <c r="A1195" s="11"/>
      <c r="B1195" s="12">
        <v>590</v>
      </c>
      <c r="C1195" s="12">
        <v>840</v>
      </c>
      <c r="D1195" s="12">
        <v>31950</v>
      </c>
      <c r="E1195" s="13" t="s">
        <v>2341</v>
      </c>
      <c r="F1195" s="13" t="s">
        <v>3955</v>
      </c>
      <c r="G1195" s="13" t="s">
        <v>56</v>
      </c>
      <c r="H1195" s="13"/>
      <c r="I1195" s="12">
        <v>2025</v>
      </c>
      <c r="J1195" s="13" t="s">
        <v>3956</v>
      </c>
      <c r="K1195" s="12">
        <v>9785006300712</v>
      </c>
      <c r="L1195" s="13" t="s">
        <v>3957</v>
      </c>
      <c r="M1195" s="12">
        <v>197</v>
      </c>
      <c r="N1195" s="14">
        <v>0.34</v>
      </c>
      <c r="O1195" s="12">
        <v>150</v>
      </c>
      <c r="P1195" s="12">
        <v>220</v>
      </c>
      <c r="Q1195" s="12">
        <v>20</v>
      </c>
      <c r="R1195" s="13" t="s">
        <v>43</v>
      </c>
      <c r="S1195" s="13"/>
      <c r="T1195" s="15">
        <v>2000</v>
      </c>
      <c r="U1195" s="13" t="s">
        <v>52</v>
      </c>
      <c r="V1195" s="13" t="s">
        <v>45</v>
      </c>
      <c r="W1195" s="12">
        <v>10</v>
      </c>
      <c r="X1195" s="33" t="str">
        <f>HYPERLINK("https://www.alpinabook.ru/catalog/book-patsientologiya","ссылка на книгу")</f>
        <v>ссылка на книгу</v>
      </c>
      <c r="Y1195" s="34" t="str">
        <f>HYPERLINK("https://api-enni.alpina.ru/FilePrivilegesApproval/755","https://api-enni.alpina.ru/FilePrivilegesApproval/755")</f>
        <v>https://api-enni.alpina.ru/FilePrivilegesApproval/755</v>
      </c>
      <c r="Z1195" s="13" t="s">
        <v>1350</v>
      </c>
      <c r="AT1195" s="1">
        <f t="shared" si="198"/>
        <v>0</v>
      </c>
      <c r="AU1195" s="1">
        <f t="shared" si="199"/>
        <v>0</v>
      </c>
      <c r="AV1195" s="1">
        <f t="shared" si="200"/>
        <v>0</v>
      </c>
      <c r="AW1195" s="1">
        <f t="shared" si="201"/>
        <v>0</v>
      </c>
      <c r="AX1195" s="1">
        <f t="shared" si="202"/>
        <v>0</v>
      </c>
    </row>
    <row r="1196" spans="1:50" s="1" customFormat="1" ht="24.95" customHeight="1" outlineLevel="3" x14ac:dyDescent="0.2">
      <c r="A1196" s="11"/>
      <c r="B1196" s="12">
        <v>590</v>
      </c>
      <c r="C1196" s="12">
        <v>840</v>
      </c>
      <c r="D1196" s="12">
        <v>17907</v>
      </c>
      <c r="E1196" s="13" t="s">
        <v>723</v>
      </c>
      <c r="F1196" s="13" t="s">
        <v>3958</v>
      </c>
      <c r="G1196" s="13" t="s">
        <v>56</v>
      </c>
      <c r="H1196" s="13" t="s">
        <v>40</v>
      </c>
      <c r="I1196" s="12">
        <v>2021</v>
      </c>
      <c r="J1196" s="13" t="s">
        <v>3959</v>
      </c>
      <c r="K1196" s="12">
        <v>9785961440317</v>
      </c>
      <c r="L1196" s="13" t="s">
        <v>3960</v>
      </c>
      <c r="M1196" s="12">
        <v>270</v>
      </c>
      <c r="N1196" s="14">
        <v>0.42</v>
      </c>
      <c r="O1196" s="12">
        <v>146</v>
      </c>
      <c r="P1196" s="12">
        <v>216</v>
      </c>
      <c r="Q1196" s="12">
        <v>14</v>
      </c>
      <c r="R1196" s="13" t="s">
        <v>43</v>
      </c>
      <c r="S1196" s="13"/>
      <c r="T1196" s="15">
        <v>3000</v>
      </c>
      <c r="U1196" s="13" t="s">
        <v>52</v>
      </c>
      <c r="V1196" s="13" t="s">
        <v>45</v>
      </c>
      <c r="W1196" s="12">
        <v>10</v>
      </c>
      <c r="X1196" s="33" t="str">
        <f>HYPERLINK("https://www.alpinabook.ru/catalog/book-669359","ссылка на книгу")</f>
        <v>ссылка на книгу</v>
      </c>
      <c r="Y1196" s="34" t="str">
        <f>HYPERLINK("https://api-enni.alpina.ru/FilePrivilegesApproval/72","https://api-enni.alpina.ru/FilePrivilegesApproval/72")</f>
        <v>https://api-enni.alpina.ru/FilePrivilegesApproval/72</v>
      </c>
      <c r="Z1196" s="13"/>
      <c r="AT1196" s="1">
        <f t="shared" si="198"/>
        <v>0</v>
      </c>
      <c r="AU1196" s="1">
        <f t="shared" si="199"/>
        <v>0</v>
      </c>
      <c r="AV1196" s="1">
        <f t="shared" si="200"/>
        <v>0</v>
      </c>
      <c r="AW1196" s="1">
        <f t="shared" si="201"/>
        <v>0</v>
      </c>
      <c r="AX1196" s="1">
        <f t="shared" si="202"/>
        <v>0</v>
      </c>
    </row>
    <row r="1197" spans="1:50" s="1" customFormat="1" ht="24.95" customHeight="1" outlineLevel="3" x14ac:dyDescent="0.2">
      <c r="A1197" s="11"/>
      <c r="B1197" s="12">
        <v>590</v>
      </c>
      <c r="C1197" s="12">
        <v>590</v>
      </c>
      <c r="D1197" s="12">
        <v>18946</v>
      </c>
      <c r="E1197" s="13" t="s">
        <v>3961</v>
      </c>
      <c r="F1197" s="13" t="s">
        <v>3962</v>
      </c>
      <c r="G1197" s="13" t="s">
        <v>56</v>
      </c>
      <c r="H1197" s="13" t="s">
        <v>40</v>
      </c>
      <c r="I1197" s="12">
        <v>2022</v>
      </c>
      <c r="J1197" s="13" t="s">
        <v>3963</v>
      </c>
      <c r="K1197" s="12">
        <v>9785961478389</v>
      </c>
      <c r="L1197" s="13" t="s">
        <v>3964</v>
      </c>
      <c r="M1197" s="12">
        <v>245</v>
      </c>
      <c r="N1197" s="14">
        <v>0.4</v>
      </c>
      <c r="O1197" s="12">
        <v>146</v>
      </c>
      <c r="P1197" s="12">
        <v>216</v>
      </c>
      <c r="Q1197" s="12">
        <v>14</v>
      </c>
      <c r="R1197" s="13" t="s">
        <v>43</v>
      </c>
      <c r="S1197" s="13"/>
      <c r="T1197" s="15">
        <v>1500</v>
      </c>
      <c r="U1197" s="13" t="s">
        <v>52</v>
      </c>
      <c r="V1197" s="13" t="s">
        <v>59</v>
      </c>
      <c r="W1197" s="12">
        <v>10</v>
      </c>
      <c r="X1197" s="33" t="str">
        <f>HYPERLINK("https://www.alpinabook.ru/catalog/book-poteryavshaya-razum","ссылка на книгу")</f>
        <v>ссылка на книгу</v>
      </c>
      <c r="Y1197" s="34" t="str">
        <f>HYPERLINK("https://api-enni.alpina.ru/FilePrivilegesApproval/140","https://api-enni.alpina.ru/FilePrivilegesApproval/140")</f>
        <v>https://api-enni.alpina.ru/FilePrivilegesApproval/140</v>
      </c>
      <c r="Z1197" s="13"/>
      <c r="AT1197" s="1">
        <f t="shared" si="198"/>
        <v>0</v>
      </c>
      <c r="AU1197" s="1">
        <f t="shared" si="199"/>
        <v>0</v>
      </c>
      <c r="AV1197" s="1">
        <f t="shared" si="200"/>
        <v>0</v>
      </c>
      <c r="AW1197" s="1">
        <f t="shared" si="201"/>
        <v>0</v>
      </c>
      <c r="AX1197" s="1">
        <f t="shared" si="202"/>
        <v>0</v>
      </c>
    </row>
    <row r="1198" spans="1:50" s="1" customFormat="1" ht="24.95" customHeight="1" outlineLevel="3" x14ac:dyDescent="0.2">
      <c r="A1198" s="26"/>
      <c r="B1198" s="27">
        <v>640</v>
      </c>
      <c r="C1198" s="27">
        <v>640</v>
      </c>
      <c r="D1198" s="27">
        <v>20615</v>
      </c>
      <c r="E1198" s="29" t="s">
        <v>2891</v>
      </c>
      <c r="F1198" s="29" t="s">
        <v>2892</v>
      </c>
      <c r="G1198" s="29" t="s">
        <v>56</v>
      </c>
      <c r="H1198" s="29"/>
      <c r="I1198" s="27">
        <v>2022</v>
      </c>
      <c r="J1198" s="29" t="s">
        <v>3965</v>
      </c>
      <c r="K1198" s="27">
        <v>9785961440614</v>
      </c>
      <c r="L1198" s="29" t="s">
        <v>3966</v>
      </c>
      <c r="M1198" s="27">
        <v>336</v>
      </c>
      <c r="N1198" s="30">
        <v>0.79</v>
      </c>
      <c r="O1198" s="27">
        <v>180</v>
      </c>
      <c r="P1198" s="27">
        <v>250</v>
      </c>
      <c r="Q1198" s="27">
        <v>5</v>
      </c>
      <c r="R1198" s="29" t="s">
        <v>94</v>
      </c>
      <c r="S1198" s="29"/>
      <c r="T1198" s="28">
        <v>2500</v>
      </c>
      <c r="U1198" s="29" t="s">
        <v>52</v>
      </c>
      <c r="V1198" s="29" t="s">
        <v>45</v>
      </c>
      <c r="W1198" s="27">
        <v>10</v>
      </c>
      <c r="X1198" s="37" t="str">
        <f>HYPERLINK("https://www.alpinabook.ru/catalog/book-pyat-litrov-krasnogo","ссылка на книгу")</f>
        <v>ссылка на книгу</v>
      </c>
      <c r="Y1198" s="38" t="str">
        <f>HYPERLINK("https://api-enni.alpina.ru/FilePrivilegesApproval/128","https://api-enni.alpina.ru/FilePrivilegesApproval/128")</f>
        <v>https://api-enni.alpina.ru/FilePrivilegesApproval/128</v>
      </c>
      <c r="Z1198" s="29"/>
      <c r="AT1198" s="1">
        <f t="shared" si="198"/>
        <v>0</v>
      </c>
      <c r="AU1198" s="1">
        <f t="shared" si="199"/>
        <v>0</v>
      </c>
      <c r="AV1198" s="1">
        <f t="shared" si="200"/>
        <v>0</v>
      </c>
      <c r="AW1198" s="1">
        <f t="shared" si="201"/>
        <v>0</v>
      </c>
      <c r="AX1198" s="1">
        <f t="shared" si="202"/>
        <v>0</v>
      </c>
    </row>
    <row r="1199" spans="1:50" s="1" customFormat="1" ht="24.95" customHeight="1" outlineLevel="3" x14ac:dyDescent="0.2">
      <c r="A1199" s="11"/>
      <c r="B1199" s="12">
        <v>790</v>
      </c>
      <c r="C1199" s="15">
        <v>1190</v>
      </c>
      <c r="D1199" s="12">
        <v>19471</v>
      </c>
      <c r="E1199" s="13" t="s">
        <v>3967</v>
      </c>
      <c r="F1199" s="13" t="s">
        <v>3968</v>
      </c>
      <c r="G1199" s="13" t="s">
        <v>86</v>
      </c>
      <c r="H1199" s="13" t="s">
        <v>40</v>
      </c>
      <c r="I1199" s="12">
        <v>2024</v>
      </c>
      <c r="J1199" s="13" t="s">
        <v>3969</v>
      </c>
      <c r="K1199" s="12">
        <v>9785002231935</v>
      </c>
      <c r="L1199" s="13" t="s">
        <v>3970</v>
      </c>
      <c r="M1199" s="12">
        <v>398</v>
      </c>
      <c r="N1199" s="14">
        <v>0.59</v>
      </c>
      <c r="O1199" s="12">
        <v>150</v>
      </c>
      <c r="P1199" s="12">
        <v>220</v>
      </c>
      <c r="Q1199" s="12">
        <v>10</v>
      </c>
      <c r="R1199" s="13" t="s">
        <v>43</v>
      </c>
      <c r="S1199" s="13"/>
      <c r="T1199" s="15">
        <v>2000</v>
      </c>
      <c r="U1199" s="13" t="s">
        <v>52</v>
      </c>
      <c r="V1199" s="13" t="s">
        <v>59</v>
      </c>
      <c r="W1199" s="12">
        <v>10</v>
      </c>
      <c r="X1199" s="33" t="str">
        <f>HYPERLINK("https://www.alpinabook.ru/catalog/book-s-kazhdym-vdokhom","ссылка на книгу")</f>
        <v>ссылка на книгу</v>
      </c>
      <c r="Y1199" s="34" t="str">
        <f>HYPERLINK("https://api-enni.alpina.ru/FilePrivilegesApproval/377","https://api-enni.alpina.ru/FilePrivilegesApproval/377")</f>
        <v>https://api-enni.alpina.ru/FilePrivilegesApproval/377</v>
      </c>
      <c r="Z1199" s="13"/>
      <c r="AT1199" s="1">
        <f t="shared" si="198"/>
        <v>0</v>
      </c>
      <c r="AU1199" s="1">
        <f t="shared" si="199"/>
        <v>0</v>
      </c>
      <c r="AV1199" s="1">
        <f t="shared" si="200"/>
        <v>0</v>
      </c>
      <c r="AW1199" s="1">
        <f t="shared" si="201"/>
        <v>0</v>
      </c>
      <c r="AX1199" s="1">
        <f t="shared" si="202"/>
        <v>0</v>
      </c>
    </row>
    <row r="1200" spans="1:50" s="1" customFormat="1" ht="24.95" customHeight="1" outlineLevel="3" x14ac:dyDescent="0.2">
      <c r="A1200" s="11"/>
      <c r="B1200" s="12">
        <v>590</v>
      </c>
      <c r="C1200" s="12">
        <v>590</v>
      </c>
      <c r="D1200" s="12">
        <v>17388</v>
      </c>
      <c r="E1200" s="13" t="s">
        <v>2928</v>
      </c>
      <c r="F1200" s="13" t="s">
        <v>3971</v>
      </c>
      <c r="G1200" s="13" t="s">
        <v>56</v>
      </c>
      <c r="H1200" s="13" t="s">
        <v>40</v>
      </c>
      <c r="I1200" s="12">
        <v>2021</v>
      </c>
      <c r="J1200" s="13" t="s">
        <v>3972</v>
      </c>
      <c r="K1200" s="12">
        <v>9785961430653</v>
      </c>
      <c r="L1200" s="13" t="s">
        <v>3973</v>
      </c>
      <c r="M1200" s="12">
        <v>352</v>
      </c>
      <c r="N1200" s="14">
        <v>0.69</v>
      </c>
      <c r="O1200" s="12">
        <v>168</v>
      </c>
      <c r="P1200" s="12">
        <v>241</v>
      </c>
      <c r="Q1200" s="12">
        <v>4</v>
      </c>
      <c r="R1200" s="13" t="s">
        <v>94</v>
      </c>
      <c r="S1200" s="13"/>
      <c r="T1200" s="15">
        <v>2000</v>
      </c>
      <c r="U1200" s="13" t="s">
        <v>52</v>
      </c>
      <c r="V1200" s="13" t="s">
        <v>59</v>
      </c>
      <c r="W1200" s="12">
        <v>10</v>
      </c>
      <c r="X1200" s="33" t="str">
        <f>HYPERLINK("https://www.alpinabook.ru/catalog/book-719711","ссылка на книгу")</f>
        <v>ссылка на книгу</v>
      </c>
      <c r="Y1200" s="34" t="str">
        <f>HYPERLINK("https://api-enni.alpina.ru/FilePrivilegesApproval/111","https://api-enni.alpina.ru/FilePrivilegesApproval/111")</f>
        <v>https://api-enni.alpina.ru/FilePrivilegesApproval/111</v>
      </c>
      <c r="Z1200" s="13"/>
      <c r="AT1200" s="1">
        <f t="shared" si="198"/>
        <v>0</v>
      </c>
      <c r="AU1200" s="1">
        <f t="shared" si="199"/>
        <v>0</v>
      </c>
      <c r="AV1200" s="1">
        <f t="shared" si="200"/>
        <v>0</v>
      </c>
      <c r="AW1200" s="1">
        <f t="shared" si="201"/>
        <v>0</v>
      </c>
      <c r="AX1200" s="1">
        <f t="shared" si="202"/>
        <v>0</v>
      </c>
    </row>
    <row r="1201" spans="1:50" s="1" customFormat="1" ht="24.95" customHeight="1" outlineLevel="3" x14ac:dyDescent="0.2">
      <c r="A1201" s="11"/>
      <c r="B1201" s="12">
        <v>510</v>
      </c>
      <c r="C1201" s="12">
        <v>790</v>
      </c>
      <c r="D1201" s="12">
        <v>11670</v>
      </c>
      <c r="E1201" s="13" t="s">
        <v>3974</v>
      </c>
      <c r="F1201" s="13" t="s">
        <v>3975</v>
      </c>
      <c r="G1201" s="13" t="s">
        <v>56</v>
      </c>
      <c r="H1201" s="13" t="s">
        <v>850</v>
      </c>
      <c r="I1201" s="12">
        <v>2019</v>
      </c>
      <c r="J1201" s="13" t="s">
        <v>3976</v>
      </c>
      <c r="K1201" s="12">
        <v>9785961421521</v>
      </c>
      <c r="L1201" s="13" t="s">
        <v>3977</v>
      </c>
      <c r="M1201" s="12">
        <v>325</v>
      </c>
      <c r="N1201" s="14">
        <v>0.48</v>
      </c>
      <c r="O1201" s="12">
        <v>146</v>
      </c>
      <c r="P1201" s="12">
        <v>216</v>
      </c>
      <c r="Q1201" s="12">
        <v>12</v>
      </c>
      <c r="R1201" s="13" t="s">
        <v>43</v>
      </c>
      <c r="S1201" s="13"/>
      <c r="T1201" s="15">
        <v>2000</v>
      </c>
      <c r="U1201" s="13" t="s">
        <v>52</v>
      </c>
      <c r="V1201" s="13" t="s">
        <v>59</v>
      </c>
      <c r="W1201" s="12">
        <v>10</v>
      </c>
      <c r="X1201" s="33" t="str">
        <f>HYPERLINK("https://www.alpinabook.ru/catalog/book-561701","ссылка на книгу")</f>
        <v>ссылка на книгу</v>
      </c>
      <c r="Y1201" s="34" t="str">
        <f>HYPERLINK("https://api-enni.alpina.ru/FilePrivilegesApproval/15","https://api-enni.alpina.ru/FilePrivilegesApproval/15")</f>
        <v>https://api-enni.alpina.ru/FilePrivilegesApproval/15</v>
      </c>
      <c r="Z1201" s="13"/>
      <c r="AT1201" s="1">
        <f t="shared" si="198"/>
        <v>0</v>
      </c>
      <c r="AU1201" s="1">
        <f t="shared" si="199"/>
        <v>0</v>
      </c>
      <c r="AV1201" s="1">
        <f t="shared" si="200"/>
        <v>0</v>
      </c>
      <c r="AW1201" s="1">
        <f t="shared" si="201"/>
        <v>0</v>
      </c>
      <c r="AX1201" s="1">
        <f t="shared" si="202"/>
        <v>0</v>
      </c>
    </row>
    <row r="1202" spans="1:50" s="1" customFormat="1" ht="24.95" customHeight="1" outlineLevel="3" x14ac:dyDescent="0.2">
      <c r="A1202" s="11"/>
      <c r="B1202" s="12">
        <v>640</v>
      </c>
      <c r="C1202" s="12">
        <v>640</v>
      </c>
      <c r="D1202" s="12">
        <v>18931</v>
      </c>
      <c r="E1202" s="13" t="s">
        <v>3978</v>
      </c>
      <c r="F1202" s="13" t="s">
        <v>3979</v>
      </c>
      <c r="G1202" s="13" t="s">
        <v>56</v>
      </c>
      <c r="H1202" s="13" t="s">
        <v>40</v>
      </c>
      <c r="I1202" s="12">
        <v>2021</v>
      </c>
      <c r="J1202" s="13" t="s">
        <v>3980</v>
      </c>
      <c r="K1202" s="12">
        <v>9785961438093</v>
      </c>
      <c r="L1202" s="13" t="s">
        <v>3981</v>
      </c>
      <c r="M1202" s="12">
        <v>376</v>
      </c>
      <c r="N1202" s="14">
        <v>0.56000000000000005</v>
      </c>
      <c r="O1202" s="12">
        <v>146</v>
      </c>
      <c r="P1202" s="12">
        <v>216</v>
      </c>
      <c r="Q1202" s="12">
        <v>10</v>
      </c>
      <c r="R1202" s="13" t="s">
        <v>43</v>
      </c>
      <c r="S1202" s="13"/>
      <c r="T1202" s="15">
        <v>1500</v>
      </c>
      <c r="U1202" s="13" t="s">
        <v>52</v>
      </c>
      <c r="V1202" s="13" t="s">
        <v>45</v>
      </c>
      <c r="W1202" s="12">
        <v>10</v>
      </c>
      <c r="X1202" s="33" t="str">
        <f>HYPERLINK("https://www.alpinabook.ru/catalog/book-714761","ссылка на книгу")</f>
        <v>ссылка на книгу</v>
      </c>
      <c r="Y1202" s="34" t="str">
        <f>HYPERLINK("https://api-enni.alpina.ru/FilePrivilegesApproval/109","https://api-enni.alpina.ru/FilePrivilegesApproval/109")</f>
        <v>https://api-enni.alpina.ru/FilePrivilegesApproval/109</v>
      </c>
      <c r="Z1202" s="13"/>
      <c r="AT1202" s="1">
        <f t="shared" si="198"/>
        <v>0</v>
      </c>
      <c r="AU1202" s="1">
        <f t="shared" si="199"/>
        <v>0</v>
      </c>
      <c r="AV1202" s="1">
        <f t="shared" si="200"/>
        <v>0</v>
      </c>
      <c r="AW1202" s="1">
        <f t="shared" si="201"/>
        <v>0</v>
      </c>
      <c r="AX1202" s="1">
        <f t="shared" si="202"/>
        <v>0</v>
      </c>
    </row>
    <row r="1203" spans="1:50" s="1" customFormat="1" ht="24.95" customHeight="1" outlineLevel="3" x14ac:dyDescent="0.2">
      <c r="A1203" s="26"/>
      <c r="B1203" s="27">
        <v>490</v>
      </c>
      <c r="C1203" s="27">
        <v>740</v>
      </c>
      <c r="D1203" s="27">
        <v>17296</v>
      </c>
      <c r="E1203" s="29" t="s">
        <v>3982</v>
      </c>
      <c r="F1203" s="29" t="s">
        <v>3983</v>
      </c>
      <c r="G1203" s="29" t="s">
        <v>56</v>
      </c>
      <c r="H1203" s="29"/>
      <c r="I1203" s="27">
        <v>2020</v>
      </c>
      <c r="J1203" s="29" t="s">
        <v>3984</v>
      </c>
      <c r="K1203" s="27">
        <v>9785961429824</v>
      </c>
      <c r="L1203" s="29" t="s">
        <v>3985</v>
      </c>
      <c r="M1203" s="27">
        <v>216</v>
      </c>
      <c r="N1203" s="30">
        <v>0.4</v>
      </c>
      <c r="O1203" s="27">
        <v>146</v>
      </c>
      <c r="P1203" s="27">
        <v>216</v>
      </c>
      <c r="Q1203" s="27">
        <v>14</v>
      </c>
      <c r="R1203" s="29" t="s">
        <v>43</v>
      </c>
      <c r="S1203" s="29"/>
      <c r="T1203" s="28">
        <v>2000</v>
      </c>
      <c r="U1203" s="29" t="s">
        <v>52</v>
      </c>
      <c r="V1203" s="29" t="s">
        <v>45</v>
      </c>
      <c r="W1203" s="27">
        <v>10</v>
      </c>
      <c r="X1203" s="37" t="str">
        <f>HYPERLINK("https://www.alpinabook.ru/catalog/book-606132","ссылка на книгу")</f>
        <v>ссылка на книгу</v>
      </c>
      <c r="Y1203" s="38" t="str">
        <f>HYPERLINK("https://api-enni.alpina.ru/FilePrivilegesApproval/43","https://api-enni.alpina.ru/FilePrivilegesApproval/43")</f>
        <v>https://api-enni.alpina.ru/FilePrivilegesApproval/43</v>
      </c>
      <c r="Z1203" s="29"/>
      <c r="AT1203" s="1">
        <f t="shared" si="198"/>
        <v>0</v>
      </c>
      <c r="AU1203" s="1">
        <f t="shared" si="199"/>
        <v>0</v>
      </c>
      <c r="AV1203" s="1">
        <f t="shared" si="200"/>
        <v>0</v>
      </c>
      <c r="AW1203" s="1">
        <f t="shared" si="201"/>
        <v>0</v>
      </c>
      <c r="AX1203" s="1">
        <f t="shared" si="202"/>
        <v>0</v>
      </c>
    </row>
    <row r="1204" spans="1:50" s="1" customFormat="1" ht="24.95" customHeight="1" outlineLevel="3" x14ac:dyDescent="0.2">
      <c r="A1204" s="11"/>
      <c r="B1204" s="12">
        <v>590</v>
      </c>
      <c r="C1204" s="12">
        <v>590</v>
      </c>
      <c r="D1204" s="12">
        <v>12459</v>
      </c>
      <c r="E1204" s="13" t="s">
        <v>3986</v>
      </c>
      <c r="F1204" s="13" t="s">
        <v>3987</v>
      </c>
      <c r="G1204" s="13" t="s">
        <v>56</v>
      </c>
      <c r="H1204" s="13" t="s">
        <v>40</v>
      </c>
      <c r="I1204" s="12">
        <v>2021</v>
      </c>
      <c r="J1204" s="13" t="s">
        <v>3988</v>
      </c>
      <c r="K1204" s="12">
        <v>9785961425437</v>
      </c>
      <c r="L1204" s="13" t="s">
        <v>3989</v>
      </c>
      <c r="M1204" s="12">
        <v>221</v>
      </c>
      <c r="N1204" s="14">
        <v>0.38</v>
      </c>
      <c r="O1204" s="12">
        <v>146</v>
      </c>
      <c r="P1204" s="12">
        <v>216</v>
      </c>
      <c r="Q1204" s="12">
        <v>16</v>
      </c>
      <c r="R1204" s="13" t="s">
        <v>43</v>
      </c>
      <c r="S1204" s="13"/>
      <c r="T1204" s="15">
        <v>2000</v>
      </c>
      <c r="U1204" s="13" t="s">
        <v>52</v>
      </c>
      <c r="V1204" s="13" t="s">
        <v>59</v>
      </c>
      <c r="W1204" s="12">
        <v>10</v>
      </c>
      <c r="X1204" s="33" t="str">
        <f>HYPERLINK("https://www.alpinabook.ru/catalog/book-638096","ссылка на книгу")</f>
        <v>ссылка на книгу</v>
      </c>
      <c r="Y1204" s="34" t="str">
        <f>HYPERLINK("https://api-enni.alpina.ru/FilePrivilegesApproval/100","https://api-enni.alpina.ru/FilePrivilegesApproval/100")</f>
        <v>https://api-enni.alpina.ru/FilePrivilegesApproval/100</v>
      </c>
      <c r="Z1204" s="13"/>
      <c r="AT1204" s="1">
        <f t="shared" si="198"/>
        <v>0</v>
      </c>
      <c r="AU1204" s="1">
        <f t="shared" si="199"/>
        <v>0</v>
      </c>
      <c r="AV1204" s="1">
        <f t="shared" si="200"/>
        <v>0</v>
      </c>
      <c r="AW1204" s="1">
        <f t="shared" si="201"/>
        <v>0</v>
      </c>
      <c r="AX1204" s="1">
        <f t="shared" si="202"/>
        <v>0</v>
      </c>
    </row>
    <row r="1205" spans="1:50" ht="11.1" customHeight="1" outlineLevel="2" x14ac:dyDescent="0.2">
      <c r="A1205" s="40" t="s">
        <v>3990</v>
      </c>
      <c r="B1205" s="40"/>
      <c r="C1205" s="40"/>
      <c r="D1205" s="40"/>
      <c r="E1205" s="40"/>
      <c r="F1205" s="40"/>
      <c r="G1205" s="40"/>
      <c r="H1205" s="40"/>
      <c r="I1205" s="40"/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20"/>
    </row>
    <row r="1206" spans="1:50" s="1" customFormat="1" ht="24.95" customHeight="1" outlineLevel="3" x14ac:dyDescent="0.2">
      <c r="A1206" s="11"/>
      <c r="B1206" s="12">
        <v>490</v>
      </c>
      <c r="C1206" s="12">
        <v>740</v>
      </c>
      <c r="D1206" s="12">
        <v>27423</v>
      </c>
      <c r="E1206" s="13" t="s">
        <v>3991</v>
      </c>
      <c r="F1206" s="13" t="s">
        <v>3992</v>
      </c>
      <c r="G1206" s="13" t="s">
        <v>56</v>
      </c>
      <c r="H1206" s="13"/>
      <c r="I1206" s="12">
        <v>2024</v>
      </c>
      <c r="J1206" s="13" t="s">
        <v>3993</v>
      </c>
      <c r="K1206" s="12">
        <v>9785961484939</v>
      </c>
      <c r="L1206" s="13" t="s">
        <v>3994</v>
      </c>
      <c r="M1206" s="12">
        <v>264</v>
      </c>
      <c r="N1206" s="14">
        <v>0.33</v>
      </c>
      <c r="O1206" s="12">
        <v>140</v>
      </c>
      <c r="P1206" s="12">
        <v>210</v>
      </c>
      <c r="Q1206" s="12">
        <v>16</v>
      </c>
      <c r="R1206" s="13" t="s">
        <v>43</v>
      </c>
      <c r="S1206" s="13"/>
      <c r="T1206" s="15">
        <v>12000</v>
      </c>
      <c r="U1206" s="13" t="s">
        <v>44</v>
      </c>
      <c r="V1206" s="13" t="s">
        <v>89</v>
      </c>
      <c r="W1206" s="12">
        <v>10</v>
      </c>
      <c r="X1206" s="33" t="str">
        <f>HYPERLINK("https://www.alpinabook.ru/catalog/book-bezlyudnoe-mesto","ссылка на книгу")</f>
        <v>ссылка на книгу</v>
      </c>
      <c r="Y1206" s="34" t="str">
        <f>HYPERLINK("https://api-enni.alpina.ru/FilePrivilegesApproval/200","https://api-enni.alpina.ru/FilePrivilegesApproval/200")</f>
        <v>https://api-enni.alpina.ru/FilePrivilegesApproval/200</v>
      </c>
      <c r="Z1206" s="13"/>
      <c r="AT1206" s="1">
        <f t="shared" ref="AT1206:AT1212" si="203">IF($A1206&lt;&gt;0,1,0)</f>
        <v>0</v>
      </c>
      <c r="AU1206" s="1">
        <f t="shared" ref="AU1206:AU1212" si="204">$A1206*$B1206</f>
        <v>0</v>
      </c>
      <c r="AV1206" s="1">
        <f t="shared" ref="AV1206:AV1212" si="205">$A1206*$N1206</f>
        <v>0</v>
      </c>
      <c r="AW1206" s="1">
        <f t="shared" ref="AW1206:AW1212" si="206">IF($Q1206=0,0,INT($A1206/$Q1206))</f>
        <v>0</v>
      </c>
      <c r="AX1206" s="1">
        <f t="shared" ref="AX1206:AX1212" si="207">$A1206-$AW1206*$Q1206</f>
        <v>0</v>
      </c>
    </row>
    <row r="1207" spans="1:50" s="1" customFormat="1" ht="24.95" customHeight="1" outlineLevel="3" x14ac:dyDescent="0.2">
      <c r="A1207" s="11"/>
      <c r="B1207" s="12">
        <v>540</v>
      </c>
      <c r="C1207" s="12">
        <v>790</v>
      </c>
      <c r="D1207" s="12">
        <v>27558</v>
      </c>
      <c r="E1207" s="13" t="s">
        <v>230</v>
      </c>
      <c r="F1207" s="13" t="s">
        <v>3995</v>
      </c>
      <c r="G1207" s="13" t="s">
        <v>56</v>
      </c>
      <c r="H1207" s="13"/>
      <c r="I1207" s="12">
        <v>2025</v>
      </c>
      <c r="J1207" s="13" t="s">
        <v>3996</v>
      </c>
      <c r="K1207" s="12">
        <v>9785961485615</v>
      </c>
      <c r="L1207" s="13" t="s">
        <v>3997</v>
      </c>
      <c r="M1207" s="12">
        <v>278</v>
      </c>
      <c r="N1207" s="14">
        <v>0.47</v>
      </c>
      <c r="O1207" s="12">
        <v>140</v>
      </c>
      <c r="P1207" s="12">
        <v>210</v>
      </c>
      <c r="Q1207" s="12">
        <v>12</v>
      </c>
      <c r="R1207" s="13" t="s">
        <v>43</v>
      </c>
      <c r="S1207" s="13"/>
      <c r="T1207" s="15">
        <v>4000</v>
      </c>
      <c r="U1207" s="13" t="s">
        <v>44</v>
      </c>
      <c r="V1207" s="13" t="s">
        <v>89</v>
      </c>
      <c r="W1207" s="12">
        <v>10</v>
      </c>
      <c r="X1207" s="33" t="str">
        <f>HYPERLINK("https://www.alpinabook.ru/catalog/book-gromkie-dela","ссылка на книгу")</f>
        <v>ссылка на книгу</v>
      </c>
      <c r="Y1207" s="34" t="str">
        <f>HYPERLINK("https://api-enni.alpina.ru/FilePrivilegesApproval/172","https://api-enni.alpina.ru/FilePrivilegesApproval/172")</f>
        <v>https://api-enni.alpina.ru/FilePrivilegesApproval/172</v>
      </c>
      <c r="Z1207" s="13" t="s">
        <v>142</v>
      </c>
      <c r="AT1207" s="1">
        <f t="shared" si="203"/>
        <v>0</v>
      </c>
      <c r="AU1207" s="1">
        <f t="shared" si="204"/>
        <v>0</v>
      </c>
      <c r="AV1207" s="1">
        <f t="shared" si="205"/>
        <v>0</v>
      </c>
      <c r="AW1207" s="1">
        <f t="shared" si="206"/>
        <v>0</v>
      </c>
      <c r="AX1207" s="1">
        <f t="shared" si="207"/>
        <v>0</v>
      </c>
    </row>
    <row r="1208" spans="1:50" s="1" customFormat="1" ht="24.95" customHeight="1" outlineLevel="3" x14ac:dyDescent="0.2">
      <c r="A1208" s="11"/>
      <c r="B1208" s="12">
        <v>540</v>
      </c>
      <c r="C1208" s="12">
        <v>790</v>
      </c>
      <c r="D1208" s="12">
        <v>29385</v>
      </c>
      <c r="E1208" s="13" t="s">
        <v>230</v>
      </c>
      <c r="F1208" s="13" t="s">
        <v>3998</v>
      </c>
      <c r="G1208" s="13" t="s">
        <v>56</v>
      </c>
      <c r="H1208" s="13"/>
      <c r="I1208" s="12">
        <v>2025</v>
      </c>
      <c r="J1208" s="13" t="s">
        <v>3999</v>
      </c>
      <c r="K1208" s="12">
        <v>9785961492316</v>
      </c>
      <c r="L1208" s="13" t="s">
        <v>4000</v>
      </c>
      <c r="M1208" s="12">
        <v>376</v>
      </c>
      <c r="N1208" s="14">
        <v>0.45</v>
      </c>
      <c r="O1208" s="12">
        <v>140</v>
      </c>
      <c r="P1208" s="12">
        <v>210</v>
      </c>
      <c r="Q1208" s="12">
        <v>10</v>
      </c>
      <c r="R1208" s="13" t="s">
        <v>43</v>
      </c>
      <c r="S1208" s="13"/>
      <c r="T1208" s="15">
        <v>2000</v>
      </c>
      <c r="U1208" s="13" t="s">
        <v>44</v>
      </c>
      <c r="V1208" s="13" t="s">
        <v>89</v>
      </c>
      <c r="W1208" s="12">
        <v>10</v>
      </c>
      <c r="X1208" s="33" t="str">
        <f>HYPERLINK("https://www.alpinabook.ru/catalog/book-komu-na-rusi-sidet-horosho","ссылка на книгу")</f>
        <v>ссылка на книгу</v>
      </c>
      <c r="Y1208" s="34" t="str">
        <f>HYPERLINK("https://api-enni.alpina.ru/FilePrivilegesApproval/293","https://api-enni.alpina.ru/FilePrivilegesApproval/293")</f>
        <v>https://api-enni.alpina.ru/FilePrivilegesApproval/293</v>
      </c>
      <c r="Z1208" s="13" t="s">
        <v>142</v>
      </c>
      <c r="AT1208" s="1">
        <f t="shared" si="203"/>
        <v>0</v>
      </c>
      <c r="AU1208" s="1">
        <f t="shared" si="204"/>
        <v>0</v>
      </c>
      <c r="AV1208" s="1">
        <f t="shared" si="205"/>
        <v>0</v>
      </c>
      <c r="AW1208" s="1">
        <f t="shared" si="206"/>
        <v>0</v>
      </c>
      <c r="AX1208" s="1">
        <f t="shared" si="207"/>
        <v>0</v>
      </c>
    </row>
    <row r="1209" spans="1:50" s="1" customFormat="1" ht="24.95" customHeight="1" outlineLevel="3" x14ac:dyDescent="0.2">
      <c r="A1209" s="11"/>
      <c r="B1209" s="12">
        <v>690</v>
      </c>
      <c r="C1209" s="12">
        <v>990</v>
      </c>
      <c r="D1209" s="12">
        <v>17984</v>
      </c>
      <c r="E1209" s="13" t="s">
        <v>695</v>
      </c>
      <c r="F1209" s="13" t="s">
        <v>696</v>
      </c>
      <c r="G1209" s="13" t="s">
        <v>56</v>
      </c>
      <c r="H1209" s="13" t="s">
        <v>40</v>
      </c>
      <c r="I1209" s="12">
        <v>2025</v>
      </c>
      <c r="J1209" s="13" t="s">
        <v>697</v>
      </c>
      <c r="K1209" s="12">
        <v>9785961432787</v>
      </c>
      <c r="L1209" s="13" t="s">
        <v>698</v>
      </c>
      <c r="M1209" s="12">
        <v>172</v>
      </c>
      <c r="N1209" s="14">
        <v>0.49</v>
      </c>
      <c r="O1209" s="12">
        <v>180</v>
      </c>
      <c r="P1209" s="12">
        <v>240</v>
      </c>
      <c r="Q1209" s="12">
        <v>10</v>
      </c>
      <c r="R1209" s="13" t="s">
        <v>94</v>
      </c>
      <c r="S1209" s="13"/>
      <c r="T1209" s="15">
        <v>3000</v>
      </c>
      <c r="U1209" s="13" t="s">
        <v>52</v>
      </c>
      <c r="V1209" s="13" t="s">
        <v>89</v>
      </c>
      <c r="W1209" s="12">
        <v>10</v>
      </c>
      <c r="X1209" s="33" t="str">
        <f>HYPERLINK("https://www.alpinabook.ru/catalog/book-sam-ili-pomogli","ссылка на книгу")</f>
        <v>ссылка на книгу</v>
      </c>
      <c r="Y1209" s="34" t="str">
        <f>HYPERLINK("https://api-enni.alpina.ru/FilePrivilegesApproval/542","https://api-enni.alpina.ru/FilePrivilegesApproval/542")</f>
        <v>https://api-enni.alpina.ru/FilePrivilegesApproval/542</v>
      </c>
      <c r="Z1209" s="13" t="s">
        <v>70</v>
      </c>
      <c r="AT1209" s="1">
        <f t="shared" si="203"/>
        <v>0</v>
      </c>
      <c r="AU1209" s="1">
        <f t="shared" si="204"/>
        <v>0</v>
      </c>
      <c r="AV1209" s="1">
        <f t="shared" si="205"/>
        <v>0</v>
      </c>
      <c r="AW1209" s="1">
        <f t="shared" si="206"/>
        <v>0</v>
      </c>
      <c r="AX1209" s="1">
        <f t="shared" si="207"/>
        <v>0</v>
      </c>
    </row>
    <row r="1210" spans="1:50" s="1" customFormat="1" ht="24.95" customHeight="1" outlineLevel="3" x14ac:dyDescent="0.2">
      <c r="A1210" s="11"/>
      <c r="B1210" s="12">
        <v>550</v>
      </c>
      <c r="C1210" s="12">
        <v>790</v>
      </c>
      <c r="D1210" s="12">
        <v>29724</v>
      </c>
      <c r="E1210" s="13" t="s">
        <v>1351</v>
      </c>
      <c r="F1210" s="13" t="s">
        <v>4001</v>
      </c>
      <c r="G1210" s="13" t="s">
        <v>56</v>
      </c>
      <c r="H1210" s="13" t="s">
        <v>40</v>
      </c>
      <c r="I1210" s="12">
        <v>2025</v>
      </c>
      <c r="J1210" s="13" t="s">
        <v>4002</v>
      </c>
      <c r="K1210" s="12">
        <v>9785961493603</v>
      </c>
      <c r="L1210" s="13" t="s">
        <v>4003</v>
      </c>
      <c r="M1210" s="12">
        <v>384</v>
      </c>
      <c r="N1210" s="14">
        <v>0.56000000000000005</v>
      </c>
      <c r="O1210" s="12">
        <v>150</v>
      </c>
      <c r="P1210" s="12">
        <v>220</v>
      </c>
      <c r="Q1210" s="12">
        <v>12</v>
      </c>
      <c r="R1210" s="13" t="s">
        <v>43</v>
      </c>
      <c r="S1210" s="13"/>
      <c r="T1210" s="15">
        <v>2000</v>
      </c>
      <c r="U1210" s="13" t="s">
        <v>52</v>
      </c>
      <c r="V1210" s="13" t="s">
        <v>89</v>
      </c>
      <c r="W1210" s="12">
        <v>10</v>
      </c>
      <c r="X1210" s="33" t="str">
        <f>HYPERLINK("https://www.alpinabook.ru/catalog/book-seriynyy-ubiytsa-ryadom","ссылка на книгу")</f>
        <v>ссылка на книгу</v>
      </c>
      <c r="Y1210" s="34" t="str">
        <f>HYPERLINK("https://api-enni.alpina.ru/FilePrivilegesApproval/815","https://api-enni.alpina.ru/FilePrivilegesApproval/815")</f>
        <v>https://api-enni.alpina.ru/FilePrivilegesApproval/815</v>
      </c>
      <c r="Z1210" s="13" t="s">
        <v>334</v>
      </c>
      <c r="AT1210" s="1">
        <f t="shared" si="203"/>
        <v>0</v>
      </c>
      <c r="AU1210" s="1">
        <f t="shared" si="204"/>
        <v>0</v>
      </c>
      <c r="AV1210" s="1">
        <f t="shared" si="205"/>
        <v>0</v>
      </c>
      <c r="AW1210" s="1">
        <f t="shared" si="206"/>
        <v>0</v>
      </c>
      <c r="AX1210" s="1">
        <f t="shared" si="207"/>
        <v>0</v>
      </c>
    </row>
    <row r="1211" spans="1:50" s="1" customFormat="1" ht="24.95" customHeight="1" outlineLevel="3" x14ac:dyDescent="0.2">
      <c r="A1211" s="11"/>
      <c r="B1211" s="12">
        <v>540</v>
      </c>
      <c r="C1211" s="12">
        <v>790</v>
      </c>
      <c r="D1211" s="12">
        <v>30336</v>
      </c>
      <c r="E1211" s="13" t="s">
        <v>4004</v>
      </c>
      <c r="F1211" s="13" t="s">
        <v>4005</v>
      </c>
      <c r="G1211" s="13" t="s">
        <v>3511</v>
      </c>
      <c r="H1211" s="13" t="s">
        <v>40</v>
      </c>
      <c r="I1211" s="12">
        <v>2024</v>
      </c>
      <c r="J1211" s="13" t="s">
        <v>4006</v>
      </c>
      <c r="K1211" s="12">
        <v>9785002161577</v>
      </c>
      <c r="L1211" s="13" t="s">
        <v>4007</v>
      </c>
      <c r="M1211" s="12">
        <v>480</v>
      </c>
      <c r="N1211" s="14">
        <v>0.49</v>
      </c>
      <c r="O1211" s="12">
        <v>150</v>
      </c>
      <c r="P1211" s="12">
        <v>210</v>
      </c>
      <c r="Q1211" s="12">
        <v>4</v>
      </c>
      <c r="R1211" s="13" t="s">
        <v>43</v>
      </c>
      <c r="S1211" s="13"/>
      <c r="T1211" s="15">
        <v>3317</v>
      </c>
      <c r="U1211" s="13" t="s">
        <v>44</v>
      </c>
      <c r="V1211" s="13" t="s">
        <v>45</v>
      </c>
      <c r="W1211" s="12">
        <v>10</v>
      </c>
      <c r="X1211" s="33" t="str">
        <f>HYPERLINK("https://www.alpinabook.ru/catalog/book-chernaya-ruka","ссылка на книгу")</f>
        <v>ссылка на книгу</v>
      </c>
      <c r="Y1211" s="34" t="str">
        <f>HYPERLINK("https://api-enni.alpina.ru/FilePrivilegesApproval/581","https://api-enni.alpina.ru/FilePrivilegesApproval/581")</f>
        <v>https://api-enni.alpina.ru/FilePrivilegesApproval/581</v>
      </c>
      <c r="Z1211" s="13"/>
      <c r="AT1211" s="1">
        <f t="shared" si="203"/>
        <v>0</v>
      </c>
      <c r="AU1211" s="1">
        <f t="shared" si="204"/>
        <v>0</v>
      </c>
      <c r="AV1211" s="1">
        <f t="shared" si="205"/>
        <v>0</v>
      </c>
      <c r="AW1211" s="1">
        <f t="shared" si="206"/>
        <v>0</v>
      </c>
      <c r="AX1211" s="1">
        <f t="shared" si="207"/>
        <v>0</v>
      </c>
    </row>
    <row r="1212" spans="1:50" s="1" customFormat="1" ht="24.95" customHeight="1" outlineLevel="3" x14ac:dyDescent="0.2">
      <c r="A1212" s="11"/>
      <c r="B1212" s="12">
        <v>540</v>
      </c>
      <c r="C1212" s="12">
        <v>790</v>
      </c>
      <c r="D1212" s="12">
        <v>33325</v>
      </c>
      <c r="E1212" s="13" t="s">
        <v>230</v>
      </c>
      <c r="F1212" s="13" t="s">
        <v>231</v>
      </c>
      <c r="G1212" s="13" t="s">
        <v>56</v>
      </c>
      <c r="H1212" s="13"/>
      <c r="I1212" s="12">
        <v>2025</v>
      </c>
      <c r="J1212" s="13" t="s">
        <v>232</v>
      </c>
      <c r="K1212" s="12">
        <v>9785006304284</v>
      </c>
      <c r="L1212" s="13" t="s">
        <v>233</v>
      </c>
      <c r="M1212" s="12">
        <v>298</v>
      </c>
      <c r="N1212" s="14">
        <v>0.38</v>
      </c>
      <c r="O1212" s="12">
        <v>140</v>
      </c>
      <c r="P1212" s="12">
        <v>210</v>
      </c>
      <c r="Q1212" s="12">
        <v>14</v>
      </c>
      <c r="R1212" s="13" t="s">
        <v>43</v>
      </c>
      <c r="S1212" s="13"/>
      <c r="T1212" s="15">
        <v>3000</v>
      </c>
      <c r="U1212" s="13" t="s">
        <v>44</v>
      </c>
      <c r="V1212" s="13" t="s">
        <v>89</v>
      </c>
      <c r="W1212" s="12">
        <v>10</v>
      </c>
      <c r="X1212" s="33" t="str">
        <f>HYPERLINK("https://www.alpinabook.ru/catalog/book-chisto-rossiyskoe-prestuplenie","ссылка на книгу")</f>
        <v>ссылка на книгу</v>
      </c>
      <c r="Y1212" s="34" t="str">
        <f>HYPERLINK("https://api-enni.alpina.ru/FilePrivilegesApproval/856","https://api-enni.alpina.ru/FilePrivilegesApproval/856")</f>
        <v>https://api-enni.alpina.ru/FilePrivilegesApproval/856</v>
      </c>
      <c r="Z1212" s="13" t="s">
        <v>70</v>
      </c>
      <c r="AT1212" s="1">
        <f t="shared" si="203"/>
        <v>0</v>
      </c>
      <c r="AU1212" s="1">
        <f t="shared" si="204"/>
        <v>0</v>
      </c>
      <c r="AV1212" s="1">
        <f t="shared" si="205"/>
        <v>0</v>
      </c>
      <c r="AW1212" s="1">
        <f t="shared" si="206"/>
        <v>0</v>
      </c>
      <c r="AX1212" s="1">
        <f t="shared" si="207"/>
        <v>0</v>
      </c>
    </row>
    <row r="1213" spans="1:50" ht="15" customHeight="1" outlineLevel="1" x14ac:dyDescent="0.2">
      <c r="A1213" s="39" t="s">
        <v>4008</v>
      </c>
      <c r="B1213" s="39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19"/>
    </row>
    <row r="1214" spans="1:50" ht="11.1" customHeight="1" outlineLevel="2" x14ac:dyDescent="0.2">
      <c r="A1214" s="40" t="s">
        <v>4009</v>
      </c>
      <c r="B1214" s="40"/>
      <c r="C1214" s="40"/>
      <c r="D1214" s="40"/>
      <c r="E1214" s="40"/>
      <c r="F1214" s="40"/>
      <c r="G1214" s="40"/>
      <c r="H1214" s="40"/>
      <c r="I1214" s="40"/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20"/>
    </row>
    <row r="1215" spans="1:50" s="1" customFormat="1" ht="21.95" customHeight="1" outlineLevel="3" x14ac:dyDescent="0.2">
      <c r="A1215" s="21"/>
      <c r="B1215" s="25">
        <v>2490</v>
      </c>
      <c r="C1215" s="25">
        <v>2990</v>
      </c>
      <c r="D1215" s="22">
        <v>31922</v>
      </c>
      <c r="E1215" s="23" t="s">
        <v>4010</v>
      </c>
      <c r="F1215" s="23" t="s">
        <v>4011</v>
      </c>
      <c r="G1215" s="23" t="s">
        <v>49</v>
      </c>
      <c r="H1215" s="23" t="s">
        <v>40</v>
      </c>
      <c r="I1215" s="22">
        <v>2025</v>
      </c>
      <c r="J1215" s="23" t="s">
        <v>4012</v>
      </c>
      <c r="K1215" s="22">
        <v>9786018215506</v>
      </c>
      <c r="L1215" s="23" t="s">
        <v>4013</v>
      </c>
      <c r="M1215" s="22">
        <v>188</v>
      </c>
      <c r="N1215" s="24">
        <v>0.43</v>
      </c>
      <c r="O1215" s="22">
        <v>170</v>
      </c>
      <c r="P1215" s="22">
        <v>240</v>
      </c>
      <c r="Q1215" s="22">
        <v>8</v>
      </c>
      <c r="R1215" s="23" t="s">
        <v>94</v>
      </c>
      <c r="S1215" s="23"/>
      <c r="T1215" s="25">
        <v>2500</v>
      </c>
      <c r="U1215" s="23" t="s">
        <v>52</v>
      </c>
      <c r="V1215" s="23" t="s">
        <v>59</v>
      </c>
      <c r="W1215" s="22">
        <v>20</v>
      </c>
      <c r="X1215" s="35" t="str">
        <f>HYPERLINK("https://www.alpinabook.ru/catalog/book-bpmn-2","ссылка на книгу")</f>
        <v>ссылка на книгу</v>
      </c>
      <c r="Y1215" s="36" t="str">
        <f>HYPERLINK("","")</f>
        <v/>
      </c>
      <c r="Z1215" s="23" t="s">
        <v>70</v>
      </c>
      <c r="AT1215" s="1">
        <f t="shared" ref="AT1215:AT1229" si="208">IF($A1215&lt;&gt;0,1,0)</f>
        <v>0</v>
      </c>
      <c r="AU1215" s="1">
        <f t="shared" ref="AU1215:AU1229" si="209">$A1215*$B1215</f>
        <v>0</v>
      </c>
      <c r="AV1215" s="1">
        <f t="shared" ref="AV1215:AV1229" si="210">$A1215*$N1215</f>
        <v>0</v>
      </c>
      <c r="AW1215" s="1">
        <f t="shared" ref="AW1215:AW1229" si="211">IF($Q1215=0,0,INT($A1215/$Q1215))</f>
        <v>0</v>
      </c>
      <c r="AX1215" s="1">
        <f t="shared" ref="AX1215:AX1229" si="212">$A1215-$AW1215*$Q1215</f>
        <v>0</v>
      </c>
    </row>
    <row r="1216" spans="1:50" s="1" customFormat="1" ht="24.95" customHeight="1" outlineLevel="3" x14ac:dyDescent="0.2">
      <c r="A1216" s="21"/>
      <c r="B1216" s="22">
        <v>890</v>
      </c>
      <c r="C1216" s="25">
        <v>1290</v>
      </c>
      <c r="D1216" s="22">
        <v>5462</v>
      </c>
      <c r="E1216" s="23" t="s">
        <v>313</v>
      </c>
      <c r="F1216" s="23" t="s">
        <v>314</v>
      </c>
      <c r="G1216" s="23" t="s">
        <v>56</v>
      </c>
      <c r="H1216" s="23" t="s">
        <v>40</v>
      </c>
      <c r="I1216" s="22">
        <v>2025</v>
      </c>
      <c r="J1216" s="23" t="s">
        <v>315</v>
      </c>
      <c r="K1216" s="22">
        <v>9785961468373</v>
      </c>
      <c r="L1216" s="23" t="s">
        <v>316</v>
      </c>
      <c r="M1216" s="22">
        <v>256</v>
      </c>
      <c r="N1216" s="24">
        <v>0.52</v>
      </c>
      <c r="O1216" s="22">
        <v>170</v>
      </c>
      <c r="P1216" s="22">
        <v>240</v>
      </c>
      <c r="Q1216" s="22">
        <v>8</v>
      </c>
      <c r="R1216" s="23" t="s">
        <v>94</v>
      </c>
      <c r="S1216" s="23"/>
      <c r="T1216" s="25">
        <v>3000</v>
      </c>
      <c r="U1216" s="23" t="s">
        <v>52</v>
      </c>
      <c r="V1216" s="23" t="s">
        <v>64</v>
      </c>
      <c r="W1216" s="22">
        <v>10</v>
      </c>
      <c r="X1216" s="35" t="str">
        <f>HYPERLINK("https://www.alpinabook.ru/catalog/book-biznes-s-nulya","ссылка на книгу")</f>
        <v>ссылка на книгу</v>
      </c>
      <c r="Y1216" s="36" t="str">
        <f>HYPERLINK("https://api-enni.alpina.ru/FilePrivilegesApproval/156","https://api-enni.alpina.ru/FilePrivilegesApproval/156")</f>
        <v>https://api-enni.alpina.ru/FilePrivilegesApproval/156</v>
      </c>
      <c r="Z1216" s="23" t="s">
        <v>70</v>
      </c>
      <c r="AT1216" s="1">
        <f t="shared" si="208"/>
        <v>0</v>
      </c>
      <c r="AU1216" s="1">
        <f t="shared" si="209"/>
        <v>0</v>
      </c>
      <c r="AV1216" s="1">
        <f t="shared" si="210"/>
        <v>0</v>
      </c>
      <c r="AW1216" s="1">
        <f t="shared" si="211"/>
        <v>0</v>
      </c>
      <c r="AX1216" s="1">
        <f t="shared" si="212"/>
        <v>0</v>
      </c>
    </row>
    <row r="1217" spans="1:50" s="1" customFormat="1" ht="24.95" customHeight="1" outlineLevel="3" x14ac:dyDescent="0.2">
      <c r="A1217" s="21"/>
      <c r="B1217" s="25">
        <v>1290</v>
      </c>
      <c r="C1217" s="25">
        <v>1790</v>
      </c>
      <c r="D1217" s="22">
        <v>23808</v>
      </c>
      <c r="E1217" s="23" t="s">
        <v>4014</v>
      </c>
      <c r="F1217" s="23" t="s">
        <v>4015</v>
      </c>
      <c r="G1217" s="23" t="s">
        <v>97</v>
      </c>
      <c r="H1217" s="23" t="s">
        <v>40</v>
      </c>
      <c r="I1217" s="22">
        <v>2025</v>
      </c>
      <c r="J1217" s="23" t="s">
        <v>4016</v>
      </c>
      <c r="K1217" s="22">
        <v>9785604758205</v>
      </c>
      <c r="L1217" s="23" t="s">
        <v>4017</v>
      </c>
      <c r="M1217" s="22">
        <v>492</v>
      </c>
      <c r="N1217" s="24">
        <v>0.89</v>
      </c>
      <c r="O1217" s="22">
        <v>170</v>
      </c>
      <c r="P1217" s="22">
        <v>240</v>
      </c>
      <c r="Q1217" s="22">
        <v>4</v>
      </c>
      <c r="R1217" s="23" t="s">
        <v>94</v>
      </c>
      <c r="S1217" s="23"/>
      <c r="T1217" s="25">
        <v>1000</v>
      </c>
      <c r="U1217" s="23" t="s">
        <v>52</v>
      </c>
      <c r="V1217" s="23" t="s">
        <v>64</v>
      </c>
      <c r="W1217" s="22">
        <v>10</v>
      </c>
      <c r="X1217" s="35" t="str">
        <f>HYPERLINK("https://www.alpinabook.ru/catalog/book-dao-toyota-2-e-izdanie","ссылка на книгу")</f>
        <v>ссылка на книгу</v>
      </c>
      <c r="Y1217" s="36" t="str">
        <f>HYPERLINK("https://api-enni.alpina.ru/FilePrivilegesApproval/220","https://api-enni.alpina.ru/FilePrivilegesApproval/220")</f>
        <v>https://api-enni.alpina.ru/FilePrivilegesApproval/220</v>
      </c>
      <c r="Z1217" s="23" t="s">
        <v>53</v>
      </c>
      <c r="AT1217" s="1">
        <f t="shared" si="208"/>
        <v>0</v>
      </c>
      <c r="AU1217" s="1">
        <f t="shared" si="209"/>
        <v>0</v>
      </c>
      <c r="AV1217" s="1">
        <f t="shared" si="210"/>
        <v>0</v>
      </c>
      <c r="AW1217" s="1">
        <f t="shared" si="211"/>
        <v>0</v>
      </c>
      <c r="AX1217" s="1">
        <f t="shared" si="212"/>
        <v>0</v>
      </c>
    </row>
    <row r="1218" spans="1:50" s="1" customFormat="1" ht="24.95" customHeight="1" outlineLevel="3" x14ac:dyDescent="0.2">
      <c r="A1218" s="21"/>
      <c r="B1218" s="22">
        <v>490</v>
      </c>
      <c r="C1218" s="22">
        <v>740</v>
      </c>
      <c r="D1218" s="22">
        <v>27718</v>
      </c>
      <c r="E1218" s="23" t="s">
        <v>4018</v>
      </c>
      <c r="F1218" s="23" t="s">
        <v>4019</v>
      </c>
      <c r="G1218" s="23" t="s">
        <v>56</v>
      </c>
      <c r="H1218" s="23" t="s">
        <v>40</v>
      </c>
      <c r="I1218" s="22">
        <v>2025</v>
      </c>
      <c r="J1218" s="23" t="s">
        <v>4020</v>
      </c>
      <c r="K1218" s="22">
        <v>9785961486216</v>
      </c>
      <c r="L1218" s="23" t="s">
        <v>4021</v>
      </c>
      <c r="M1218" s="22">
        <v>192</v>
      </c>
      <c r="N1218" s="24">
        <v>0.21</v>
      </c>
      <c r="O1218" s="22">
        <v>130</v>
      </c>
      <c r="P1218" s="22">
        <v>200</v>
      </c>
      <c r="Q1218" s="22">
        <v>24</v>
      </c>
      <c r="R1218" s="23" t="s">
        <v>82</v>
      </c>
      <c r="S1218" s="23"/>
      <c r="T1218" s="25">
        <v>2000</v>
      </c>
      <c r="U1218" s="23" t="s">
        <v>44</v>
      </c>
      <c r="V1218" s="23" t="s">
        <v>64</v>
      </c>
      <c r="W1218" s="22">
        <v>10</v>
      </c>
      <c r="X1218" s="35" t="str">
        <f>HYPERLINK("https://www.alpinabook.ru/catalog/book-delo-ne-v-kofe","ссылка на книгу")</f>
        <v>ссылка на книгу</v>
      </c>
      <c r="Y1218" s="36" t="str">
        <f>HYPERLINK("https://api-enni.alpina.ru/FilePrivilegesApproval/128","https://api-enni.alpina.ru/FilePrivilegesApproval/128")</f>
        <v>https://api-enni.alpina.ru/FilePrivilegesApproval/128</v>
      </c>
      <c r="Z1218" s="23" t="s">
        <v>954</v>
      </c>
      <c r="AT1218" s="1">
        <f t="shared" si="208"/>
        <v>0</v>
      </c>
      <c r="AU1218" s="1">
        <f t="shared" si="209"/>
        <v>0</v>
      </c>
      <c r="AV1218" s="1">
        <f t="shared" si="210"/>
        <v>0</v>
      </c>
      <c r="AW1218" s="1">
        <f t="shared" si="211"/>
        <v>0</v>
      </c>
      <c r="AX1218" s="1">
        <f t="shared" si="212"/>
        <v>0</v>
      </c>
    </row>
    <row r="1219" spans="1:50" s="1" customFormat="1" ht="24.95" customHeight="1" outlineLevel="3" x14ac:dyDescent="0.2">
      <c r="A1219" s="26"/>
      <c r="B1219" s="27">
        <v>590</v>
      </c>
      <c r="C1219" s="27">
        <v>840</v>
      </c>
      <c r="D1219" s="27">
        <v>3206</v>
      </c>
      <c r="E1219" s="29" t="s">
        <v>4022</v>
      </c>
      <c r="F1219" s="29" t="s">
        <v>4023</v>
      </c>
      <c r="G1219" s="29" t="s">
        <v>56</v>
      </c>
      <c r="H1219" s="29" t="s">
        <v>40</v>
      </c>
      <c r="I1219" s="27">
        <v>2024</v>
      </c>
      <c r="J1219" s="29" t="s">
        <v>4024</v>
      </c>
      <c r="K1219" s="27">
        <v>9785961469905</v>
      </c>
      <c r="L1219" s="29" t="s">
        <v>4025</v>
      </c>
      <c r="M1219" s="27">
        <v>288</v>
      </c>
      <c r="N1219" s="30">
        <v>0.57999999999999996</v>
      </c>
      <c r="O1219" s="27">
        <v>168</v>
      </c>
      <c r="P1219" s="27">
        <v>241</v>
      </c>
      <c r="Q1219" s="27">
        <v>8</v>
      </c>
      <c r="R1219" s="29" t="s">
        <v>94</v>
      </c>
      <c r="S1219" s="29"/>
      <c r="T1219" s="28">
        <v>2000</v>
      </c>
      <c r="U1219" s="29" t="s">
        <v>52</v>
      </c>
      <c r="V1219" s="29" t="s">
        <v>64</v>
      </c>
      <c r="W1219" s="27">
        <v>10</v>
      </c>
      <c r="X1219" s="37" t="str">
        <f>HYPERLINK("https://www.alpinabook.ru/catalog/book-kak-chashka-za-chashkoy-stroilas-starbucks","ссылка на книгу")</f>
        <v>ссылка на книгу</v>
      </c>
      <c r="Y1219" s="38" t="str">
        <f>HYPERLINK("https://api-enni.alpina.ru/FilePrivilegesApproval/2","https://api-enni.alpina.ru/FilePrivilegesApproval/2")</f>
        <v>https://api-enni.alpina.ru/FilePrivilegesApproval/2</v>
      </c>
      <c r="Z1219" s="29"/>
      <c r="AT1219" s="1">
        <f t="shared" si="208"/>
        <v>0</v>
      </c>
      <c r="AU1219" s="1">
        <f t="shared" si="209"/>
        <v>0</v>
      </c>
      <c r="AV1219" s="1">
        <f t="shared" si="210"/>
        <v>0</v>
      </c>
      <c r="AW1219" s="1">
        <f t="shared" si="211"/>
        <v>0</v>
      </c>
      <c r="AX1219" s="1">
        <f t="shared" si="212"/>
        <v>0</v>
      </c>
    </row>
    <row r="1220" spans="1:50" s="1" customFormat="1" ht="24.95" customHeight="1" outlineLevel="3" x14ac:dyDescent="0.2">
      <c r="A1220" s="21"/>
      <c r="B1220" s="22">
        <v>690</v>
      </c>
      <c r="C1220" s="22">
        <v>990</v>
      </c>
      <c r="D1220" s="22">
        <v>28033</v>
      </c>
      <c r="E1220" s="23" t="s">
        <v>4026</v>
      </c>
      <c r="F1220" s="23" t="s">
        <v>4027</v>
      </c>
      <c r="G1220" s="23" t="s">
        <v>97</v>
      </c>
      <c r="H1220" s="23"/>
      <c r="I1220" s="22">
        <v>2023</v>
      </c>
      <c r="J1220" s="23" t="s">
        <v>4028</v>
      </c>
      <c r="K1220" s="22">
        <v>9785206001907</v>
      </c>
      <c r="L1220" s="23" t="s">
        <v>4029</v>
      </c>
      <c r="M1220" s="22">
        <v>262</v>
      </c>
      <c r="N1220" s="24">
        <v>0.42</v>
      </c>
      <c r="O1220" s="22">
        <v>150</v>
      </c>
      <c r="P1220" s="22">
        <v>220</v>
      </c>
      <c r="Q1220" s="22">
        <v>6</v>
      </c>
      <c r="R1220" s="23" t="s">
        <v>43</v>
      </c>
      <c r="S1220" s="23"/>
      <c r="T1220" s="25">
        <v>1500</v>
      </c>
      <c r="U1220" s="23" t="s">
        <v>52</v>
      </c>
      <c r="V1220" s="23" t="s">
        <v>45</v>
      </c>
      <c r="W1220" s="22">
        <v>10</v>
      </c>
      <c r="X1220" s="35" t="str">
        <f>HYPERLINK("https://www.alpinabook.ru/catalog/book-kratkaya-entsiklopediya-bolezney-biznesa","ссылка на книгу")</f>
        <v>ссылка на книгу</v>
      </c>
      <c r="Y1220" s="36" t="str">
        <f>HYPERLINK("https://api-enni.alpina.ru/FilePrivilegesApproval/316","https://api-enni.alpina.ru/FilePrivilegesApproval/316")</f>
        <v>https://api-enni.alpina.ru/FilePrivilegesApproval/316</v>
      </c>
      <c r="Z1220" s="23"/>
      <c r="AT1220" s="1">
        <f t="shared" si="208"/>
        <v>0</v>
      </c>
      <c r="AU1220" s="1">
        <f t="shared" si="209"/>
        <v>0</v>
      </c>
      <c r="AV1220" s="1">
        <f t="shared" si="210"/>
        <v>0</v>
      </c>
      <c r="AW1220" s="1">
        <f t="shared" si="211"/>
        <v>0</v>
      </c>
      <c r="AX1220" s="1">
        <f t="shared" si="212"/>
        <v>0</v>
      </c>
    </row>
    <row r="1221" spans="1:50" s="1" customFormat="1" ht="24.95" customHeight="1" outlineLevel="3" x14ac:dyDescent="0.2">
      <c r="A1221" s="21"/>
      <c r="B1221" s="22">
        <v>790</v>
      </c>
      <c r="C1221" s="25">
        <v>1190</v>
      </c>
      <c r="D1221" s="22">
        <v>22914</v>
      </c>
      <c r="E1221" s="23" t="s">
        <v>4030</v>
      </c>
      <c r="F1221" s="23" t="s">
        <v>4031</v>
      </c>
      <c r="G1221" s="23" t="s">
        <v>56</v>
      </c>
      <c r="H1221" s="23"/>
      <c r="I1221" s="22">
        <v>2025</v>
      </c>
      <c r="J1221" s="23" t="s">
        <v>4032</v>
      </c>
      <c r="K1221" s="22">
        <v>9785961472448</v>
      </c>
      <c r="L1221" s="23" t="s">
        <v>4033</v>
      </c>
      <c r="M1221" s="22">
        <v>228</v>
      </c>
      <c r="N1221" s="24">
        <v>0.46</v>
      </c>
      <c r="O1221" s="22">
        <v>150</v>
      </c>
      <c r="P1221" s="22">
        <v>220</v>
      </c>
      <c r="Q1221" s="22">
        <v>10</v>
      </c>
      <c r="R1221" s="23" t="s">
        <v>43</v>
      </c>
      <c r="S1221" s="23"/>
      <c r="T1221" s="25">
        <v>3000</v>
      </c>
      <c r="U1221" s="23" t="s">
        <v>52</v>
      </c>
      <c r="V1221" s="23" t="s">
        <v>59</v>
      </c>
      <c r="W1221" s="22">
        <v>10</v>
      </c>
      <c r="X1221" s="35" t="str">
        <f>HYPERLINK("https://www.alpinabook.ru/catalog/book-mama-ya-timlid","ссылка на книгу")</f>
        <v>ссылка на книгу</v>
      </c>
      <c r="Y1221" s="36" t="str">
        <f>HYPERLINK("https://api-enni.alpina.ru/FilePrivilegesApproval/140","https://api-enni.alpina.ru/FilePrivilegesApproval/140")</f>
        <v>https://api-enni.alpina.ru/FilePrivilegesApproval/140</v>
      </c>
      <c r="Z1221" s="23"/>
      <c r="AT1221" s="1">
        <f t="shared" si="208"/>
        <v>0</v>
      </c>
      <c r="AU1221" s="1">
        <f t="shared" si="209"/>
        <v>0</v>
      </c>
      <c r="AV1221" s="1">
        <f t="shared" si="210"/>
        <v>0</v>
      </c>
      <c r="AW1221" s="1">
        <f t="shared" si="211"/>
        <v>0</v>
      </c>
      <c r="AX1221" s="1">
        <f t="shared" si="212"/>
        <v>0</v>
      </c>
    </row>
    <row r="1222" spans="1:50" s="1" customFormat="1" ht="24.95" customHeight="1" outlineLevel="3" x14ac:dyDescent="0.2">
      <c r="A1222" s="21"/>
      <c r="B1222" s="22">
        <v>640</v>
      </c>
      <c r="C1222" s="22">
        <v>940</v>
      </c>
      <c r="D1222" s="22">
        <v>1629</v>
      </c>
      <c r="E1222" s="23" t="s">
        <v>401</v>
      </c>
      <c r="F1222" s="23" t="s">
        <v>534</v>
      </c>
      <c r="G1222" s="23" t="s">
        <v>56</v>
      </c>
      <c r="H1222" s="23" t="s">
        <v>40</v>
      </c>
      <c r="I1222" s="22">
        <v>2025</v>
      </c>
      <c r="J1222" s="23" t="s">
        <v>535</v>
      </c>
      <c r="K1222" s="22">
        <v>9785961467451</v>
      </c>
      <c r="L1222" s="23" t="s">
        <v>536</v>
      </c>
      <c r="M1222" s="22">
        <v>216</v>
      </c>
      <c r="N1222" s="24">
        <v>0.36</v>
      </c>
      <c r="O1222" s="22">
        <v>146</v>
      </c>
      <c r="P1222" s="22">
        <v>216</v>
      </c>
      <c r="Q1222" s="22">
        <v>18</v>
      </c>
      <c r="R1222" s="23" t="s">
        <v>43</v>
      </c>
      <c r="S1222" s="23"/>
      <c r="T1222" s="25">
        <v>10000</v>
      </c>
      <c r="U1222" s="23" t="s">
        <v>52</v>
      </c>
      <c r="V1222" s="23" t="s">
        <v>64</v>
      </c>
      <c r="W1222" s="22">
        <v>10</v>
      </c>
      <c r="X1222" s="35" t="str">
        <f>HYPERLINK("https://www.alpinabook.ru/catalog/book-marketing-ot-a-do-ya","ссылка на книгу")</f>
        <v>ссылка на книгу</v>
      </c>
      <c r="Y1222" s="36" t="str">
        <f>HYPERLINK("https://api-enni.alpina.ru/FilePrivilegesApproval/2","https://api-enni.alpina.ru/FilePrivilegesApproval/2")</f>
        <v>https://api-enni.alpina.ru/FilePrivilegesApproval/2</v>
      </c>
      <c r="Z1222" s="23"/>
      <c r="AT1222" s="1">
        <f t="shared" si="208"/>
        <v>0</v>
      </c>
      <c r="AU1222" s="1">
        <f t="shared" si="209"/>
        <v>0</v>
      </c>
      <c r="AV1222" s="1">
        <f t="shared" si="210"/>
        <v>0</v>
      </c>
      <c r="AW1222" s="1">
        <f t="shared" si="211"/>
        <v>0</v>
      </c>
      <c r="AX1222" s="1">
        <f t="shared" si="212"/>
        <v>0</v>
      </c>
    </row>
    <row r="1223" spans="1:50" s="1" customFormat="1" ht="24.95" customHeight="1" outlineLevel="3" x14ac:dyDescent="0.2">
      <c r="A1223" s="21"/>
      <c r="B1223" s="25">
        <v>1040</v>
      </c>
      <c r="C1223" s="25">
        <v>1290</v>
      </c>
      <c r="D1223" s="22">
        <v>25414</v>
      </c>
      <c r="E1223" s="23" t="s">
        <v>4034</v>
      </c>
      <c r="F1223" s="23" t="s">
        <v>4035</v>
      </c>
      <c r="G1223" s="23" t="s">
        <v>97</v>
      </c>
      <c r="H1223" s="23" t="s">
        <v>40</v>
      </c>
      <c r="I1223" s="22">
        <v>2025</v>
      </c>
      <c r="J1223" s="23" t="s">
        <v>4036</v>
      </c>
      <c r="K1223" s="22">
        <v>9785604784204</v>
      </c>
      <c r="L1223" s="23" t="s">
        <v>4037</v>
      </c>
      <c r="M1223" s="22">
        <v>216</v>
      </c>
      <c r="N1223" s="24">
        <v>0.46</v>
      </c>
      <c r="O1223" s="22">
        <v>170</v>
      </c>
      <c r="P1223" s="22">
        <v>240</v>
      </c>
      <c r="Q1223" s="22">
        <v>8</v>
      </c>
      <c r="R1223" s="23" t="s">
        <v>94</v>
      </c>
      <c r="S1223" s="23"/>
      <c r="T1223" s="25">
        <v>1000</v>
      </c>
      <c r="U1223" s="23" t="s">
        <v>52</v>
      </c>
      <c r="V1223" s="23" t="s">
        <v>59</v>
      </c>
      <c r="W1223" s="22">
        <v>10</v>
      </c>
      <c r="X1223" s="35" t="str">
        <f>HYPERLINK("https://www.alpinabook.ru/catalog/book-novatory-podnebesnoy","ссылка на книгу")</f>
        <v>ссылка на книгу</v>
      </c>
      <c r="Y1223" s="36" t="str">
        <f>HYPERLINK("https://api-enni.alpina.ru/FilePrivilegesApproval/167","https://api-enni.alpina.ru/FilePrivilegesApproval/167")</f>
        <v>https://api-enni.alpina.ru/FilePrivilegesApproval/167</v>
      </c>
      <c r="Z1223" s="23" t="s">
        <v>1254</v>
      </c>
      <c r="AT1223" s="1">
        <f t="shared" si="208"/>
        <v>0</v>
      </c>
      <c r="AU1223" s="1">
        <f t="shared" si="209"/>
        <v>0</v>
      </c>
      <c r="AV1223" s="1">
        <f t="shared" si="210"/>
        <v>0</v>
      </c>
      <c r="AW1223" s="1">
        <f t="shared" si="211"/>
        <v>0</v>
      </c>
      <c r="AX1223" s="1">
        <f t="shared" si="212"/>
        <v>0</v>
      </c>
    </row>
    <row r="1224" spans="1:50" s="1" customFormat="1" ht="24.95" customHeight="1" outlineLevel="3" x14ac:dyDescent="0.2">
      <c r="A1224" s="21"/>
      <c r="B1224" s="25">
        <v>1690</v>
      </c>
      <c r="C1224" s="25">
        <v>2190</v>
      </c>
      <c r="D1224" s="22">
        <v>2431</v>
      </c>
      <c r="E1224" s="23" t="s">
        <v>4038</v>
      </c>
      <c r="F1224" s="23" t="s">
        <v>4039</v>
      </c>
      <c r="G1224" s="23" t="s">
        <v>56</v>
      </c>
      <c r="H1224" s="23" t="s">
        <v>40</v>
      </c>
      <c r="I1224" s="22">
        <v>2025</v>
      </c>
      <c r="J1224" s="23" t="s">
        <v>4040</v>
      </c>
      <c r="K1224" s="22">
        <v>9785961470758</v>
      </c>
      <c r="L1224" s="23" t="s">
        <v>4041</v>
      </c>
      <c r="M1224" s="22">
        <v>288</v>
      </c>
      <c r="N1224" s="24">
        <v>0.69</v>
      </c>
      <c r="O1224" s="22">
        <v>190</v>
      </c>
      <c r="P1224" s="22">
        <v>240</v>
      </c>
      <c r="Q1224" s="22">
        <v>8</v>
      </c>
      <c r="R1224" s="23" t="s">
        <v>300</v>
      </c>
      <c r="S1224" s="23" t="s">
        <v>690</v>
      </c>
      <c r="T1224" s="25">
        <v>2000</v>
      </c>
      <c r="U1224" s="23" t="s">
        <v>44</v>
      </c>
      <c r="V1224" s="23" t="s">
        <v>64</v>
      </c>
      <c r="W1224" s="22">
        <v>10</v>
      </c>
      <c r="X1224" s="35" t="str">
        <f>HYPERLINK("https://www.alpinabook.ru/catalog/book-postroenie-biznes-modeley","ссылка на книгу")</f>
        <v>ссылка на книгу</v>
      </c>
      <c r="Y1224" s="36" t="str">
        <f>HYPERLINK("https://api-enni.alpina.ru/FilePrivilegesApproval/2","https://api-enni.alpina.ru/FilePrivilegesApproval/2")</f>
        <v>https://api-enni.alpina.ru/FilePrivilegesApproval/2</v>
      </c>
      <c r="Z1224" s="23" t="s">
        <v>343</v>
      </c>
      <c r="AT1224" s="1">
        <f t="shared" si="208"/>
        <v>0</v>
      </c>
      <c r="AU1224" s="1">
        <f t="shared" si="209"/>
        <v>0</v>
      </c>
      <c r="AV1224" s="1">
        <f t="shared" si="210"/>
        <v>0</v>
      </c>
      <c r="AW1224" s="1">
        <f t="shared" si="211"/>
        <v>0</v>
      </c>
      <c r="AX1224" s="1">
        <f t="shared" si="212"/>
        <v>0</v>
      </c>
    </row>
    <row r="1225" spans="1:50" s="1" customFormat="1" ht="24.95" customHeight="1" outlineLevel="3" x14ac:dyDescent="0.2">
      <c r="A1225" s="21"/>
      <c r="B1225" s="22">
        <v>590</v>
      </c>
      <c r="C1225" s="22">
        <v>840</v>
      </c>
      <c r="D1225" s="22">
        <v>32195</v>
      </c>
      <c r="E1225" s="23" t="s">
        <v>4042</v>
      </c>
      <c r="F1225" s="23" t="s">
        <v>4043</v>
      </c>
      <c r="G1225" s="23" t="s">
        <v>97</v>
      </c>
      <c r="H1225" s="23"/>
      <c r="I1225" s="22">
        <v>2024</v>
      </c>
      <c r="J1225" s="23" t="s">
        <v>4044</v>
      </c>
      <c r="K1225" s="22">
        <v>9785206004212</v>
      </c>
      <c r="L1225" s="23" t="s">
        <v>4045</v>
      </c>
      <c r="M1225" s="22">
        <v>280</v>
      </c>
      <c r="N1225" s="24">
        <v>0.53</v>
      </c>
      <c r="O1225" s="22">
        <v>150</v>
      </c>
      <c r="P1225" s="22">
        <v>220</v>
      </c>
      <c r="Q1225" s="22">
        <v>8</v>
      </c>
      <c r="R1225" s="23" t="s">
        <v>43</v>
      </c>
      <c r="S1225" s="23"/>
      <c r="T1225" s="25">
        <v>1000</v>
      </c>
      <c r="U1225" s="23" t="s">
        <v>52</v>
      </c>
      <c r="V1225" s="23" t="s">
        <v>45</v>
      </c>
      <c r="W1225" s="22">
        <v>10</v>
      </c>
      <c r="X1225" s="35" t="str">
        <f>HYPERLINK("https://www.alpinabook.ru/catalog/book-razumnoe-strakhovanie","ссылка на книгу")</f>
        <v>ссылка на книгу</v>
      </c>
      <c r="Y1225" s="36" t="str">
        <f>HYPERLINK("https://api-enni.alpina.ru/FilePrivilegesApproval/834","https://api-enni.alpina.ru/FilePrivilegesApproval/834")</f>
        <v>https://api-enni.alpina.ru/FilePrivilegesApproval/834</v>
      </c>
      <c r="Z1225" s="23" t="s">
        <v>1312</v>
      </c>
      <c r="AT1225" s="1">
        <f t="shared" si="208"/>
        <v>0</v>
      </c>
      <c r="AU1225" s="1">
        <f t="shared" si="209"/>
        <v>0</v>
      </c>
      <c r="AV1225" s="1">
        <f t="shared" si="210"/>
        <v>0</v>
      </c>
      <c r="AW1225" s="1">
        <f t="shared" si="211"/>
        <v>0</v>
      </c>
      <c r="AX1225" s="1">
        <f t="shared" si="212"/>
        <v>0</v>
      </c>
    </row>
    <row r="1226" spans="1:50" s="1" customFormat="1" ht="24.95" customHeight="1" outlineLevel="3" x14ac:dyDescent="0.2">
      <c r="A1226" s="21"/>
      <c r="B1226" s="25">
        <v>1790</v>
      </c>
      <c r="C1226" s="25">
        <v>2290</v>
      </c>
      <c r="D1226" s="22">
        <v>3253</v>
      </c>
      <c r="E1226" s="23" t="s">
        <v>4046</v>
      </c>
      <c r="F1226" s="23" t="s">
        <v>4047</v>
      </c>
      <c r="G1226" s="23" t="s">
        <v>56</v>
      </c>
      <c r="H1226" s="23" t="s">
        <v>40</v>
      </c>
      <c r="I1226" s="22">
        <v>2024</v>
      </c>
      <c r="J1226" s="23" t="s">
        <v>4048</v>
      </c>
      <c r="K1226" s="22">
        <v>9785961460353</v>
      </c>
      <c r="L1226" s="23" t="s">
        <v>4049</v>
      </c>
      <c r="M1226" s="22">
        <v>624</v>
      </c>
      <c r="N1226" s="24">
        <v>1.26</v>
      </c>
      <c r="O1226" s="22">
        <v>200</v>
      </c>
      <c r="P1226" s="22">
        <v>240</v>
      </c>
      <c r="Q1226" s="22">
        <v>4</v>
      </c>
      <c r="R1226" s="23" t="s">
        <v>300</v>
      </c>
      <c r="S1226" s="23"/>
      <c r="T1226" s="25">
        <v>1500</v>
      </c>
      <c r="U1226" s="23" t="s">
        <v>52</v>
      </c>
      <c r="V1226" s="23" t="s">
        <v>64</v>
      </c>
      <c r="W1226" s="22">
        <v>10</v>
      </c>
      <c r="X1226" s="35" t="str">
        <f>HYPERLINK("https://www.alpinabook.ru/catalog/book-startap-nastolnaya-kniga","ссылка на книгу")</f>
        <v>ссылка на книгу</v>
      </c>
      <c r="Y1226" s="36" t="str">
        <f>HYPERLINK("https://api-enni.alpina.ru/FilePrivilegesApproval/156","https://api-enni.alpina.ru/FilePrivilegesApproval/156")</f>
        <v>https://api-enni.alpina.ru/FilePrivilegesApproval/156</v>
      </c>
      <c r="Z1226" s="23"/>
      <c r="AT1226" s="1">
        <f t="shared" si="208"/>
        <v>0</v>
      </c>
      <c r="AU1226" s="1">
        <f t="shared" si="209"/>
        <v>0</v>
      </c>
      <c r="AV1226" s="1">
        <f t="shared" si="210"/>
        <v>0</v>
      </c>
      <c r="AW1226" s="1">
        <f t="shared" si="211"/>
        <v>0</v>
      </c>
      <c r="AX1226" s="1">
        <f t="shared" si="212"/>
        <v>0</v>
      </c>
    </row>
    <row r="1227" spans="1:50" s="1" customFormat="1" ht="24.95" customHeight="1" outlineLevel="3" x14ac:dyDescent="0.2">
      <c r="A1227" s="21"/>
      <c r="B1227" s="22">
        <v>390</v>
      </c>
      <c r="C1227" s="22">
        <v>640</v>
      </c>
      <c r="D1227" s="22">
        <v>29801</v>
      </c>
      <c r="E1227" s="23" t="s">
        <v>156</v>
      </c>
      <c r="F1227" s="23" t="s">
        <v>4050</v>
      </c>
      <c r="G1227" s="23" t="s">
        <v>86</v>
      </c>
      <c r="H1227" s="23" t="s">
        <v>40</v>
      </c>
      <c r="I1227" s="22">
        <v>2025</v>
      </c>
      <c r="J1227" s="23" t="s">
        <v>4051</v>
      </c>
      <c r="K1227" s="22">
        <v>9785002231836</v>
      </c>
      <c r="L1227" s="23" t="s">
        <v>4052</v>
      </c>
      <c r="M1227" s="22">
        <v>336</v>
      </c>
      <c r="N1227" s="24">
        <v>0.22</v>
      </c>
      <c r="O1227" s="22">
        <v>120</v>
      </c>
      <c r="P1227" s="22">
        <v>170</v>
      </c>
      <c r="Q1227" s="22">
        <v>20</v>
      </c>
      <c r="R1227" s="23" t="s">
        <v>75</v>
      </c>
      <c r="S1227" s="23" t="s">
        <v>160</v>
      </c>
      <c r="T1227" s="25">
        <v>2000</v>
      </c>
      <c r="U1227" s="23" t="s">
        <v>44</v>
      </c>
      <c r="V1227" s="23" t="s">
        <v>59</v>
      </c>
      <c r="W1227" s="22">
        <v>10</v>
      </c>
      <c r="X1227" s="35" t="str">
        <f>HYPERLINK("https://www.alpinabook.ru/catalog/book-storinomika","ссылка на книгу")</f>
        <v>ссылка на книгу</v>
      </c>
      <c r="Y1227" s="36" t="str">
        <f>HYPERLINK("https://api-enni.alpina.ru/FilePrivilegesApproval/147","https://api-enni.alpina.ru/FilePrivilegesApproval/147")</f>
        <v>https://api-enni.alpina.ru/FilePrivilegesApproval/147</v>
      </c>
      <c r="Z1227" s="23"/>
      <c r="AT1227" s="1">
        <f t="shared" si="208"/>
        <v>0</v>
      </c>
      <c r="AU1227" s="1">
        <f t="shared" si="209"/>
        <v>0</v>
      </c>
      <c r="AV1227" s="1">
        <f t="shared" si="210"/>
        <v>0</v>
      </c>
      <c r="AW1227" s="1">
        <f t="shared" si="211"/>
        <v>0</v>
      </c>
      <c r="AX1227" s="1">
        <f t="shared" si="212"/>
        <v>0</v>
      </c>
    </row>
    <row r="1228" spans="1:50" s="1" customFormat="1" ht="24.95" customHeight="1" outlineLevel="3" x14ac:dyDescent="0.2">
      <c r="A1228" s="26"/>
      <c r="B1228" s="27">
        <v>490</v>
      </c>
      <c r="C1228" s="27">
        <v>490</v>
      </c>
      <c r="D1228" s="27">
        <v>22873</v>
      </c>
      <c r="E1228" s="29" t="s">
        <v>4053</v>
      </c>
      <c r="F1228" s="29" t="s">
        <v>4054</v>
      </c>
      <c r="G1228" s="29" t="s">
        <v>56</v>
      </c>
      <c r="H1228" s="29" t="s">
        <v>40</v>
      </c>
      <c r="I1228" s="27">
        <v>2021</v>
      </c>
      <c r="J1228" s="29" t="s">
        <v>4055</v>
      </c>
      <c r="K1228" s="27">
        <v>9785961471618</v>
      </c>
      <c r="L1228" s="29" t="s">
        <v>4056</v>
      </c>
      <c r="M1228" s="27">
        <v>160</v>
      </c>
      <c r="N1228" s="30">
        <v>0.32</v>
      </c>
      <c r="O1228" s="27">
        <v>115</v>
      </c>
      <c r="P1228" s="27">
        <v>201</v>
      </c>
      <c r="Q1228" s="27">
        <v>20</v>
      </c>
      <c r="R1228" s="29" t="s">
        <v>82</v>
      </c>
      <c r="S1228" s="29" t="s">
        <v>4057</v>
      </c>
      <c r="T1228" s="28">
        <v>2000</v>
      </c>
      <c r="U1228" s="29" t="s">
        <v>52</v>
      </c>
      <c r="V1228" s="29" t="s">
        <v>64</v>
      </c>
      <c r="W1228" s="27">
        <v>10</v>
      </c>
      <c r="X1228" s="37" t="str">
        <f>HYPERLINK("https://www.alpinabook.ru/catalog/book-711857","ссылка на книгу")</f>
        <v>ссылка на книгу</v>
      </c>
      <c r="Y1228" s="38" t="str">
        <f>HYPERLINK("https://api-enni.alpina.ru/FilePrivilegesApproval/108","https://api-enni.alpina.ru/FilePrivilegesApproval/108")</f>
        <v>https://api-enni.alpina.ru/FilePrivilegesApproval/108</v>
      </c>
      <c r="Z1228" s="29"/>
      <c r="AT1228" s="1">
        <f t="shared" si="208"/>
        <v>0</v>
      </c>
      <c r="AU1228" s="1">
        <f t="shared" si="209"/>
        <v>0</v>
      </c>
      <c r="AV1228" s="1">
        <f t="shared" si="210"/>
        <v>0</v>
      </c>
      <c r="AW1228" s="1">
        <f t="shared" si="211"/>
        <v>0</v>
      </c>
      <c r="AX1228" s="1">
        <f t="shared" si="212"/>
        <v>0</v>
      </c>
    </row>
    <row r="1229" spans="1:50" s="1" customFormat="1" ht="24.95" customHeight="1" outlineLevel="3" x14ac:dyDescent="0.2">
      <c r="A1229" s="21"/>
      <c r="B1229" s="22">
        <v>840</v>
      </c>
      <c r="C1229" s="25">
        <v>1290</v>
      </c>
      <c r="D1229" s="22">
        <v>24229</v>
      </c>
      <c r="E1229" s="23" t="s">
        <v>4058</v>
      </c>
      <c r="F1229" s="23" t="s">
        <v>4059</v>
      </c>
      <c r="G1229" s="23" t="s">
        <v>97</v>
      </c>
      <c r="H1229" s="23" t="s">
        <v>40</v>
      </c>
      <c r="I1229" s="22">
        <v>2023</v>
      </c>
      <c r="J1229" s="23" t="s">
        <v>4060</v>
      </c>
      <c r="K1229" s="22">
        <v>9785907470620</v>
      </c>
      <c r="L1229" s="23" t="s">
        <v>4061</v>
      </c>
      <c r="M1229" s="22">
        <v>232</v>
      </c>
      <c r="N1229" s="24">
        <v>0.49</v>
      </c>
      <c r="O1229" s="22">
        <v>168</v>
      </c>
      <c r="P1229" s="22">
        <v>241</v>
      </c>
      <c r="Q1229" s="22">
        <v>8</v>
      </c>
      <c r="R1229" s="23" t="s">
        <v>94</v>
      </c>
      <c r="S1229" s="23"/>
      <c r="T1229" s="25">
        <v>5000</v>
      </c>
      <c r="U1229" s="23" t="s">
        <v>52</v>
      </c>
      <c r="V1229" s="23" t="s">
        <v>64</v>
      </c>
      <c r="W1229" s="22">
        <v>10</v>
      </c>
      <c r="X1229" s="35" t="str">
        <f>HYPERLINK("https://www.alpinabook.ru/catalog/book-tsel-2","ссылка на книгу")</f>
        <v>ссылка на книгу</v>
      </c>
      <c r="Y1229" s="36" t="str">
        <f>HYPERLINK("https://api-enni.alpina.ru/FilePrivilegesApproval/138","https://api-enni.alpina.ru/FilePrivilegesApproval/138")</f>
        <v>https://api-enni.alpina.ru/FilePrivilegesApproval/138</v>
      </c>
      <c r="Z1229" s="23" t="s">
        <v>4062</v>
      </c>
      <c r="AT1229" s="1">
        <f t="shared" si="208"/>
        <v>0</v>
      </c>
      <c r="AU1229" s="1">
        <f t="shared" si="209"/>
        <v>0</v>
      </c>
      <c r="AV1229" s="1">
        <f t="shared" si="210"/>
        <v>0</v>
      </c>
      <c r="AW1229" s="1">
        <f t="shared" si="211"/>
        <v>0</v>
      </c>
      <c r="AX1229" s="1">
        <f t="shared" si="212"/>
        <v>0</v>
      </c>
    </row>
    <row r="1230" spans="1:50" ht="11.1" customHeight="1" outlineLevel="2" x14ac:dyDescent="0.2">
      <c r="A1230" s="40" t="s">
        <v>4063</v>
      </c>
      <c r="B1230" s="40"/>
      <c r="C1230" s="40"/>
      <c r="D1230" s="40"/>
      <c r="E1230" s="40"/>
      <c r="F1230" s="40"/>
      <c r="G1230" s="40"/>
      <c r="H1230" s="40"/>
      <c r="I1230" s="40"/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20"/>
    </row>
    <row r="1231" spans="1:50" s="1" customFormat="1" ht="24.95" customHeight="1" outlineLevel="3" x14ac:dyDescent="0.2">
      <c r="A1231" s="11"/>
      <c r="B1231" s="12">
        <v>790</v>
      </c>
      <c r="C1231" s="15">
        <v>1190</v>
      </c>
      <c r="D1231" s="12">
        <v>8441</v>
      </c>
      <c r="E1231" s="13" t="s">
        <v>244</v>
      </c>
      <c r="F1231" s="13" t="s">
        <v>245</v>
      </c>
      <c r="G1231" s="13" t="s">
        <v>56</v>
      </c>
      <c r="H1231" s="13" t="s">
        <v>40</v>
      </c>
      <c r="I1231" s="12">
        <v>2025</v>
      </c>
      <c r="J1231" s="13" t="s">
        <v>246</v>
      </c>
      <c r="K1231" s="12">
        <v>9785961469127</v>
      </c>
      <c r="L1231" s="13" t="s">
        <v>247</v>
      </c>
      <c r="M1231" s="12">
        <v>188</v>
      </c>
      <c r="N1231" s="14">
        <v>0.33</v>
      </c>
      <c r="O1231" s="12">
        <v>153</v>
      </c>
      <c r="P1231" s="12">
        <v>216</v>
      </c>
      <c r="Q1231" s="12">
        <v>10</v>
      </c>
      <c r="R1231" s="13" t="s">
        <v>43</v>
      </c>
      <c r="S1231" s="13" t="s">
        <v>248</v>
      </c>
      <c r="T1231" s="15">
        <v>1000</v>
      </c>
      <c r="U1231" s="13" t="s">
        <v>52</v>
      </c>
      <c r="V1231" s="13" t="s">
        <v>64</v>
      </c>
      <c r="W1231" s="12">
        <v>10</v>
      </c>
      <c r="X1231" s="33" t="str">
        <f>HYPERLINK("https://www.alpinabook.ru/catalog/book-11-vragov-rukovoditelya","ссылка на книгу")</f>
        <v>ссылка на книгу</v>
      </c>
      <c r="Y1231" s="34" t="str">
        <f>HYPERLINK("https://api-enni.alpina.ru/FilePrivilegesApproval/156","https://api-enni.alpina.ru/FilePrivilegesApproval/156")</f>
        <v>https://api-enni.alpina.ru/FilePrivilegesApproval/156</v>
      </c>
      <c r="Z1231" s="13" t="s">
        <v>118</v>
      </c>
      <c r="AT1231" s="1">
        <f t="shared" ref="AT1231:AT1252" si="213">IF($A1231&lt;&gt;0,1,0)</f>
        <v>0</v>
      </c>
      <c r="AU1231" s="1">
        <f t="shared" ref="AU1231:AU1252" si="214">$A1231*$B1231</f>
        <v>0</v>
      </c>
      <c r="AV1231" s="1">
        <f t="shared" ref="AV1231:AV1252" si="215">$A1231*$N1231</f>
        <v>0</v>
      </c>
      <c r="AW1231" s="1">
        <f t="shared" ref="AW1231:AW1252" si="216">IF($Q1231=0,0,INT($A1231/$Q1231))</f>
        <v>0</v>
      </c>
      <c r="AX1231" s="1">
        <f t="shared" ref="AX1231:AX1252" si="217">$A1231-$AW1231*$Q1231</f>
        <v>0</v>
      </c>
    </row>
    <row r="1232" spans="1:50" s="1" customFormat="1" ht="24.95" customHeight="1" outlineLevel="3" x14ac:dyDescent="0.2">
      <c r="A1232" s="11"/>
      <c r="B1232" s="12">
        <v>340</v>
      </c>
      <c r="C1232" s="12">
        <v>540</v>
      </c>
      <c r="D1232" s="12">
        <v>30747</v>
      </c>
      <c r="E1232" s="13" t="s">
        <v>1073</v>
      </c>
      <c r="F1232" s="13" t="s">
        <v>4064</v>
      </c>
      <c r="G1232" s="13" t="s">
        <v>56</v>
      </c>
      <c r="H1232" s="13" t="s">
        <v>40</v>
      </c>
      <c r="I1232" s="12">
        <v>2024</v>
      </c>
      <c r="J1232" s="13" t="s">
        <v>4065</v>
      </c>
      <c r="K1232" s="12">
        <v>9785961496420</v>
      </c>
      <c r="L1232" s="13" t="s">
        <v>4066</v>
      </c>
      <c r="M1232" s="12">
        <v>188</v>
      </c>
      <c r="N1232" s="14">
        <v>0.16</v>
      </c>
      <c r="O1232" s="12">
        <v>110</v>
      </c>
      <c r="P1232" s="12">
        <v>170</v>
      </c>
      <c r="Q1232" s="12">
        <v>20</v>
      </c>
      <c r="R1232" s="13" t="s">
        <v>75</v>
      </c>
      <c r="S1232" s="13" t="s">
        <v>1121</v>
      </c>
      <c r="T1232" s="15">
        <v>2000</v>
      </c>
      <c r="U1232" s="13" t="s">
        <v>44</v>
      </c>
      <c r="V1232" s="13" t="s">
        <v>64</v>
      </c>
      <c r="W1232" s="12">
        <v>10</v>
      </c>
      <c r="X1232" s="33" t="str">
        <f>HYPERLINK("https://www.alpinabook.ru/catalog/book-4-pravila-uspeshnogo-lidera","ссылка на книгу")</f>
        <v>ссылка на книгу</v>
      </c>
      <c r="Y1232" s="34" t="str">
        <f>HYPERLINK("https://api-enni.alpina.ru/FilePrivilegesApproval/405","https://api-enni.alpina.ru/FilePrivilegesApproval/405")</f>
        <v>https://api-enni.alpina.ru/FilePrivilegesApproval/405</v>
      </c>
      <c r="Z1232" s="13"/>
      <c r="AT1232" s="1">
        <f t="shared" si="213"/>
        <v>0</v>
      </c>
      <c r="AU1232" s="1">
        <f t="shared" si="214"/>
        <v>0</v>
      </c>
      <c r="AV1232" s="1">
        <f t="shared" si="215"/>
        <v>0</v>
      </c>
      <c r="AW1232" s="1">
        <f t="shared" si="216"/>
        <v>0</v>
      </c>
      <c r="AX1232" s="1">
        <f t="shared" si="217"/>
        <v>0</v>
      </c>
    </row>
    <row r="1233" spans="1:50" s="1" customFormat="1" ht="24.95" customHeight="1" outlineLevel="3" x14ac:dyDescent="0.2">
      <c r="A1233" s="11"/>
      <c r="B1233" s="12">
        <v>530</v>
      </c>
      <c r="C1233" s="12">
        <v>790</v>
      </c>
      <c r="D1233" s="12">
        <v>25422</v>
      </c>
      <c r="E1233" s="13" t="s">
        <v>4067</v>
      </c>
      <c r="F1233" s="13" t="s">
        <v>4068</v>
      </c>
      <c r="G1233" s="13" t="s">
        <v>97</v>
      </c>
      <c r="H1233" s="13"/>
      <c r="I1233" s="12">
        <v>2024</v>
      </c>
      <c r="J1233" s="13" t="s">
        <v>4069</v>
      </c>
      <c r="K1233" s="12">
        <v>9785604784242</v>
      </c>
      <c r="L1233" s="13" t="s">
        <v>4070</v>
      </c>
      <c r="M1233" s="12">
        <v>168</v>
      </c>
      <c r="N1233" s="14">
        <v>0.5</v>
      </c>
      <c r="O1233" s="12">
        <v>150</v>
      </c>
      <c r="P1233" s="12">
        <v>220</v>
      </c>
      <c r="Q1233" s="12">
        <v>10</v>
      </c>
      <c r="R1233" s="13" t="s">
        <v>43</v>
      </c>
      <c r="S1233" s="13"/>
      <c r="T1233" s="15">
        <v>1500</v>
      </c>
      <c r="U1233" s="13" t="s">
        <v>268</v>
      </c>
      <c r="V1233" s="13" t="s">
        <v>45</v>
      </c>
      <c r="W1233" s="12">
        <v>10</v>
      </c>
      <c r="X1233" s="33" t="str">
        <f>HYPERLINK("https://www.alpinabook.ru/catalog/book-headhunter","ссылка на книгу")</f>
        <v>ссылка на книгу</v>
      </c>
      <c r="Y1233" s="34" t="str">
        <f>HYPERLINK("https://api-enni.alpina.ru/FilePrivilegesApproval/168","https://api-enni.alpina.ru/FilePrivilegesApproval/168")</f>
        <v>https://api-enni.alpina.ru/FilePrivilegesApproval/168</v>
      </c>
      <c r="Z1233" s="13"/>
      <c r="AT1233" s="1">
        <f t="shared" si="213"/>
        <v>0</v>
      </c>
      <c r="AU1233" s="1">
        <f t="shared" si="214"/>
        <v>0</v>
      </c>
      <c r="AV1233" s="1">
        <f t="shared" si="215"/>
        <v>0</v>
      </c>
      <c r="AW1233" s="1">
        <f t="shared" si="216"/>
        <v>0</v>
      </c>
      <c r="AX1233" s="1">
        <f t="shared" si="217"/>
        <v>0</v>
      </c>
    </row>
    <row r="1234" spans="1:50" s="1" customFormat="1" ht="24.95" customHeight="1" outlineLevel="3" x14ac:dyDescent="0.2">
      <c r="A1234" s="26"/>
      <c r="B1234" s="27">
        <v>510</v>
      </c>
      <c r="C1234" s="27">
        <v>510</v>
      </c>
      <c r="D1234" s="27">
        <v>9025</v>
      </c>
      <c r="E1234" s="29" t="s">
        <v>4071</v>
      </c>
      <c r="F1234" s="29" t="s">
        <v>4072</v>
      </c>
      <c r="G1234" s="29" t="s">
        <v>97</v>
      </c>
      <c r="H1234" s="29"/>
      <c r="I1234" s="27">
        <v>2018</v>
      </c>
      <c r="J1234" s="29" t="s">
        <v>4073</v>
      </c>
      <c r="K1234" s="27">
        <v>9785961468236</v>
      </c>
      <c r="L1234" s="29" t="s">
        <v>4074</v>
      </c>
      <c r="M1234" s="27">
        <v>128</v>
      </c>
      <c r="N1234" s="30">
        <v>0.31</v>
      </c>
      <c r="O1234" s="27">
        <v>146</v>
      </c>
      <c r="P1234" s="27">
        <v>216</v>
      </c>
      <c r="Q1234" s="27">
        <v>16</v>
      </c>
      <c r="R1234" s="29" t="s">
        <v>43</v>
      </c>
      <c r="S1234" s="29"/>
      <c r="T1234" s="28">
        <v>1500</v>
      </c>
      <c r="U1234" s="29" t="s">
        <v>52</v>
      </c>
      <c r="V1234" s="29" t="s">
        <v>64</v>
      </c>
      <c r="W1234" s="27">
        <v>10</v>
      </c>
      <c r="X1234" s="37" t="str">
        <f>HYPERLINK("https://www.alpinabook.ru/catalog/book-426168","ссылка на книгу")</f>
        <v>ссылка на книгу</v>
      </c>
      <c r="Y1234" s="38" t="str">
        <f>HYPERLINK("https://api-enni.alpina.ru/FilePrivilegesApproval/2","https://api-enni.alpina.ru/FilePrivilegesApproval/2")</f>
        <v>https://api-enni.alpina.ru/FilePrivilegesApproval/2</v>
      </c>
      <c r="Z1234" s="29"/>
      <c r="AT1234" s="1">
        <f t="shared" si="213"/>
        <v>0</v>
      </c>
      <c r="AU1234" s="1">
        <f t="shared" si="214"/>
        <v>0</v>
      </c>
      <c r="AV1234" s="1">
        <f t="shared" si="215"/>
        <v>0</v>
      </c>
      <c r="AW1234" s="1">
        <f t="shared" si="216"/>
        <v>0</v>
      </c>
      <c r="AX1234" s="1">
        <f t="shared" si="217"/>
        <v>0</v>
      </c>
    </row>
    <row r="1235" spans="1:50" s="1" customFormat="1" ht="24.95" customHeight="1" outlineLevel="3" x14ac:dyDescent="0.2">
      <c r="A1235" s="11"/>
      <c r="B1235" s="12">
        <v>590</v>
      </c>
      <c r="C1235" s="12">
        <v>840</v>
      </c>
      <c r="D1235" s="12">
        <v>28551</v>
      </c>
      <c r="E1235" s="13" t="s">
        <v>437</v>
      </c>
      <c r="F1235" s="13" t="s">
        <v>438</v>
      </c>
      <c r="G1235" s="13" t="s">
        <v>97</v>
      </c>
      <c r="H1235" s="13"/>
      <c r="I1235" s="12">
        <v>2025</v>
      </c>
      <c r="J1235" s="13" t="s">
        <v>439</v>
      </c>
      <c r="K1235" s="12">
        <v>9785206002140</v>
      </c>
      <c r="L1235" s="13" t="s">
        <v>440</v>
      </c>
      <c r="M1235" s="12">
        <v>192</v>
      </c>
      <c r="N1235" s="14">
        <v>0.26</v>
      </c>
      <c r="O1235" s="12">
        <v>150</v>
      </c>
      <c r="P1235" s="12">
        <v>210</v>
      </c>
      <c r="Q1235" s="12">
        <v>22</v>
      </c>
      <c r="R1235" s="13" t="s">
        <v>43</v>
      </c>
      <c r="S1235" s="13"/>
      <c r="T1235" s="15">
        <v>1000</v>
      </c>
      <c r="U1235" s="13" t="s">
        <v>44</v>
      </c>
      <c r="V1235" s="13" t="s">
        <v>59</v>
      </c>
      <c r="W1235" s="12">
        <v>10</v>
      </c>
      <c r="X1235" s="33" t="str">
        <f>HYPERLINK("https://www.alpinabook.ru/catalog/book-zerkalo-dlya-lidera","ссылка на книгу")</f>
        <v>ссылка на книгу</v>
      </c>
      <c r="Y1235" s="34" t="str">
        <f>HYPERLINK("https://api-enni.alpina.ru/FilePrivilegesApproval/325","https://api-enni.alpina.ru/FilePrivilegesApproval/325")</f>
        <v>https://api-enni.alpina.ru/FilePrivilegesApproval/325</v>
      </c>
      <c r="Z1235" s="13" t="s">
        <v>70</v>
      </c>
      <c r="AT1235" s="1">
        <f t="shared" si="213"/>
        <v>0</v>
      </c>
      <c r="AU1235" s="1">
        <f t="shared" si="214"/>
        <v>0</v>
      </c>
      <c r="AV1235" s="1">
        <f t="shared" si="215"/>
        <v>0</v>
      </c>
      <c r="AW1235" s="1">
        <f t="shared" si="216"/>
        <v>0</v>
      </c>
      <c r="AX1235" s="1">
        <f t="shared" si="217"/>
        <v>0</v>
      </c>
    </row>
    <row r="1236" spans="1:50" s="1" customFormat="1" ht="24.95" customHeight="1" outlineLevel="3" x14ac:dyDescent="0.2">
      <c r="A1236" s="11"/>
      <c r="B1236" s="12">
        <v>890</v>
      </c>
      <c r="C1236" s="15">
        <v>1190</v>
      </c>
      <c r="D1236" s="12">
        <v>1462</v>
      </c>
      <c r="E1236" s="13" t="s">
        <v>4053</v>
      </c>
      <c r="F1236" s="13" t="s">
        <v>4075</v>
      </c>
      <c r="G1236" s="13" t="s">
        <v>56</v>
      </c>
      <c r="H1236" s="13" t="s">
        <v>40</v>
      </c>
      <c r="I1236" s="12">
        <v>2025</v>
      </c>
      <c r="J1236" s="13" t="s">
        <v>4076</v>
      </c>
      <c r="K1236" s="12">
        <v>9785961465501</v>
      </c>
      <c r="L1236" s="13" t="s">
        <v>4077</v>
      </c>
      <c r="M1236" s="12">
        <v>272</v>
      </c>
      <c r="N1236" s="14">
        <v>0.55000000000000004</v>
      </c>
      <c r="O1236" s="12">
        <v>168</v>
      </c>
      <c r="P1236" s="12">
        <v>241</v>
      </c>
      <c r="Q1236" s="12">
        <v>8</v>
      </c>
      <c r="R1236" s="13" t="s">
        <v>94</v>
      </c>
      <c r="S1236" s="13" t="s">
        <v>4057</v>
      </c>
      <c r="T1236" s="15">
        <v>3000</v>
      </c>
      <c r="U1236" s="13" t="s">
        <v>52</v>
      </c>
      <c r="V1236" s="13" t="s">
        <v>64</v>
      </c>
      <c r="W1236" s="12">
        <v>10</v>
      </c>
      <c r="X1236" s="33" t="str">
        <f>HYPERLINK("https://www.alpinabook.ru/catalog/book-idealnyy-rukovoditel","ссылка на книгу")</f>
        <v>ссылка на книгу</v>
      </c>
      <c r="Y1236" s="34" t="str">
        <f>HYPERLINK("https://api-enni.alpina.ru/FilePrivilegesApproval/152","https://api-enni.alpina.ru/FilePrivilegesApproval/152")</f>
        <v>https://api-enni.alpina.ru/FilePrivilegesApproval/152</v>
      </c>
      <c r="Z1236" s="13"/>
      <c r="AT1236" s="1">
        <f t="shared" si="213"/>
        <v>0</v>
      </c>
      <c r="AU1236" s="1">
        <f t="shared" si="214"/>
        <v>0</v>
      </c>
      <c r="AV1236" s="1">
        <f t="shared" si="215"/>
        <v>0</v>
      </c>
      <c r="AW1236" s="1">
        <f t="shared" si="216"/>
        <v>0</v>
      </c>
      <c r="AX1236" s="1">
        <f t="shared" si="217"/>
        <v>0</v>
      </c>
    </row>
    <row r="1237" spans="1:50" s="1" customFormat="1" ht="24.95" customHeight="1" outlineLevel="3" x14ac:dyDescent="0.2">
      <c r="A1237" s="11"/>
      <c r="B1237" s="12">
        <v>690</v>
      </c>
      <c r="C1237" s="12">
        <v>990</v>
      </c>
      <c r="D1237" s="12">
        <v>984</v>
      </c>
      <c r="E1237" s="13" t="s">
        <v>4053</v>
      </c>
      <c r="F1237" s="13" t="s">
        <v>4078</v>
      </c>
      <c r="G1237" s="13" t="s">
        <v>56</v>
      </c>
      <c r="H1237" s="13" t="s">
        <v>40</v>
      </c>
      <c r="I1237" s="12">
        <v>2025</v>
      </c>
      <c r="J1237" s="13" t="s">
        <v>4079</v>
      </c>
      <c r="K1237" s="12">
        <v>9785961467529</v>
      </c>
      <c r="L1237" s="13" t="s">
        <v>4080</v>
      </c>
      <c r="M1237" s="12">
        <v>272</v>
      </c>
      <c r="N1237" s="14">
        <v>0.45</v>
      </c>
      <c r="O1237" s="12">
        <v>160</v>
      </c>
      <c r="P1237" s="12">
        <v>240</v>
      </c>
      <c r="Q1237" s="12">
        <v>8</v>
      </c>
      <c r="R1237" s="13" t="s">
        <v>94</v>
      </c>
      <c r="S1237" s="13" t="s">
        <v>4057</v>
      </c>
      <c r="T1237" s="15">
        <v>5000</v>
      </c>
      <c r="U1237" s="13" t="s">
        <v>44</v>
      </c>
      <c r="V1237" s="13" t="s">
        <v>64</v>
      </c>
      <c r="W1237" s="12">
        <v>10</v>
      </c>
      <c r="X1237" s="33" t="str">
        <f>HYPERLINK("https://www.alpinabook.ru/catalog/book-idealnyy-rukovoditel","ссылка на книгу")</f>
        <v>ссылка на книгу</v>
      </c>
      <c r="Y1237" s="34" t="str">
        <f>HYPERLINK("https://api-enni.alpina.ru/FilePrivilegesApproval/2","https://api-enni.alpina.ru/FilePrivilegesApproval/2")</f>
        <v>https://api-enni.alpina.ru/FilePrivilegesApproval/2</v>
      </c>
      <c r="Z1237" s="13"/>
      <c r="AT1237" s="1">
        <f t="shared" si="213"/>
        <v>0</v>
      </c>
      <c r="AU1237" s="1">
        <f t="shared" si="214"/>
        <v>0</v>
      </c>
      <c r="AV1237" s="1">
        <f t="shared" si="215"/>
        <v>0</v>
      </c>
      <c r="AW1237" s="1">
        <f t="shared" si="216"/>
        <v>0</v>
      </c>
      <c r="AX1237" s="1">
        <f t="shared" si="217"/>
        <v>0</v>
      </c>
    </row>
    <row r="1238" spans="1:50" s="1" customFormat="1" ht="24.95" customHeight="1" outlineLevel="3" x14ac:dyDescent="0.2">
      <c r="A1238" s="11"/>
      <c r="B1238" s="12">
        <v>690</v>
      </c>
      <c r="C1238" s="12">
        <v>990</v>
      </c>
      <c r="D1238" s="12">
        <v>12774</v>
      </c>
      <c r="E1238" s="13" t="s">
        <v>457</v>
      </c>
      <c r="F1238" s="13" t="s">
        <v>458</v>
      </c>
      <c r="G1238" s="13" t="s">
        <v>56</v>
      </c>
      <c r="H1238" s="13" t="s">
        <v>40</v>
      </c>
      <c r="I1238" s="12">
        <v>2025</v>
      </c>
      <c r="J1238" s="13" t="s">
        <v>459</v>
      </c>
      <c r="K1238" s="12">
        <v>9785961440980</v>
      </c>
      <c r="L1238" s="13" t="s">
        <v>460</v>
      </c>
      <c r="M1238" s="12">
        <v>246</v>
      </c>
      <c r="N1238" s="14">
        <v>0.5</v>
      </c>
      <c r="O1238" s="12">
        <v>168</v>
      </c>
      <c r="P1238" s="12">
        <v>241</v>
      </c>
      <c r="Q1238" s="12">
        <v>8</v>
      </c>
      <c r="R1238" s="13" t="s">
        <v>94</v>
      </c>
      <c r="S1238" s="13"/>
      <c r="T1238" s="15">
        <v>1000</v>
      </c>
      <c r="U1238" s="13" t="s">
        <v>52</v>
      </c>
      <c r="V1238" s="13" t="s">
        <v>64</v>
      </c>
      <c r="W1238" s="12">
        <v>10</v>
      </c>
      <c r="X1238" s="33" t="str">
        <f>HYPERLINK("https://www.alpinabook.ru/catalog/book-iskusstvo-myagkogo-vliyaniya","ссылка на книгу")</f>
        <v>ссылка на книгу</v>
      </c>
      <c r="Y1238" s="34" t="str">
        <f>HYPERLINK("https://api-enni.alpina.ru/FilePrivilegesApproval/75","https://api-enni.alpina.ru/FilePrivilegesApproval/75")</f>
        <v>https://api-enni.alpina.ru/FilePrivilegesApproval/75</v>
      </c>
      <c r="Z1238" s="13" t="s">
        <v>77</v>
      </c>
      <c r="AT1238" s="1">
        <f t="shared" si="213"/>
        <v>0</v>
      </c>
      <c r="AU1238" s="1">
        <f t="shared" si="214"/>
        <v>0</v>
      </c>
      <c r="AV1238" s="1">
        <f t="shared" si="215"/>
        <v>0</v>
      </c>
      <c r="AW1238" s="1">
        <f t="shared" si="216"/>
        <v>0</v>
      </c>
      <c r="AX1238" s="1">
        <f t="shared" si="217"/>
        <v>0</v>
      </c>
    </row>
    <row r="1239" spans="1:50" s="1" customFormat="1" ht="24.95" customHeight="1" outlineLevel="3" x14ac:dyDescent="0.2">
      <c r="A1239" s="11"/>
      <c r="B1239" s="12">
        <v>740</v>
      </c>
      <c r="C1239" s="15">
        <v>1090</v>
      </c>
      <c r="D1239" s="12">
        <v>27344</v>
      </c>
      <c r="E1239" s="13" t="s">
        <v>4081</v>
      </c>
      <c r="F1239" s="13" t="s">
        <v>4082</v>
      </c>
      <c r="G1239" s="13" t="s">
        <v>97</v>
      </c>
      <c r="H1239" s="13"/>
      <c r="I1239" s="12">
        <v>2023</v>
      </c>
      <c r="J1239" s="13" t="s">
        <v>4083</v>
      </c>
      <c r="K1239" s="12">
        <v>9785206001495</v>
      </c>
      <c r="L1239" s="13" t="s">
        <v>4084</v>
      </c>
      <c r="M1239" s="12">
        <v>199</v>
      </c>
      <c r="N1239" s="14">
        <v>0.41</v>
      </c>
      <c r="O1239" s="12">
        <v>150</v>
      </c>
      <c r="P1239" s="12">
        <v>220</v>
      </c>
      <c r="Q1239" s="12">
        <v>8</v>
      </c>
      <c r="R1239" s="13" t="s">
        <v>43</v>
      </c>
      <c r="S1239" s="13"/>
      <c r="T1239" s="15">
        <v>2005</v>
      </c>
      <c r="U1239" s="13" t="s">
        <v>52</v>
      </c>
      <c r="V1239" s="13" t="s">
        <v>45</v>
      </c>
      <c r="W1239" s="12">
        <v>10</v>
      </c>
      <c r="X1239" s="33" t="str">
        <f>HYPERLINK("https://www.alpinabook.ru/catalog/book-komanda-rulit","ссылка на книгу")</f>
        <v>ссылка на книгу</v>
      </c>
      <c r="Y1239" s="34" t="str">
        <f>HYPERLINK("https://api-enni.alpina.ru/FilePrivilegesApproval/223","https://api-enni.alpina.ru/FilePrivilegesApproval/223")</f>
        <v>https://api-enni.alpina.ru/FilePrivilegesApproval/223</v>
      </c>
      <c r="Z1239" s="13"/>
      <c r="AT1239" s="1">
        <f t="shared" si="213"/>
        <v>0</v>
      </c>
      <c r="AU1239" s="1">
        <f t="shared" si="214"/>
        <v>0</v>
      </c>
      <c r="AV1239" s="1">
        <f t="shared" si="215"/>
        <v>0</v>
      </c>
      <c r="AW1239" s="1">
        <f t="shared" si="216"/>
        <v>0</v>
      </c>
      <c r="AX1239" s="1">
        <f t="shared" si="217"/>
        <v>0</v>
      </c>
    </row>
    <row r="1240" spans="1:50" s="1" customFormat="1" ht="24.95" customHeight="1" outlineLevel="3" x14ac:dyDescent="0.2">
      <c r="A1240" s="11"/>
      <c r="B1240" s="12">
        <v>890</v>
      </c>
      <c r="C1240" s="15">
        <v>1290</v>
      </c>
      <c r="D1240" s="12">
        <v>7906</v>
      </c>
      <c r="E1240" s="13" t="s">
        <v>4085</v>
      </c>
      <c r="F1240" s="13" t="s">
        <v>4086</v>
      </c>
      <c r="G1240" s="13" t="s">
        <v>56</v>
      </c>
      <c r="H1240" s="13" t="s">
        <v>40</v>
      </c>
      <c r="I1240" s="12">
        <v>2023</v>
      </c>
      <c r="J1240" s="13" t="s">
        <v>4087</v>
      </c>
      <c r="K1240" s="12">
        <v>9785961470932</v>
      </c>
      <c r="L1240" s="13" t="s">
        <v>4088</v>
      </c>
      <c r="M1240" s="12">
        <v>317</v>
      </c>
      <c r="N1240" s="14">
        <v>0.6</v>
      </c>
      <c r="O1240" s="12">
        <v>170</v>
      </c>
      <c r="P1240" s="12">
        <v>240</v>
      </c>
      <c r="Q1240" s="12">
        <v>7</v>
      </c>
      <c r="R1240" s="13" t="s">
        <v>94</v>
      </c>
      <c r="S1240" s="13"/>
      <c r="T1240" s="15">
        <v>6000</v>
      </c>
      <c r="U1240" s="13" t="s">
        <v>44</v>
      </c>
      <c r="V1240" s="13" t="s">
        <v>59</v>
      </c>
      <c r="W1240" s="12">
        <v>10</v>
      </c>
      <c r="X1240" s="33" t="str">
        <f>HYPERLINK("https://www.alpinabook.ru/catalog/book-kouching-osnovnye-printsipy","ссылка на книгу")</f>
        <v>ссылка на книгу</v>
      </c>
      <c r="Y1240" s="34" t="str">
        <f>HYPERLINK("https://api-enni.alpina.ru/FilePrivilegesApproval/2","https://api-enni.alpina.ru/FilePrivilegesApproval/2")</f>
        <v>https://api-enni.alpina.ru/FilePrivilegesApproval/2</v>
      </c>
      <c r="Z1240" s="13" t="s">
        <v>295</v>
      </c>
      <c r="AT1240" s="1">
        <f t="shared" si="213"/>
        <v>0</v>
      </c>
      <c r="AU1240" s="1">
        <f t="shared" si="214"/>
        <v>0</v>
      </c>
      <c r="AV1240" s="1">
        <f t="shared" si="215"/>
        <v>0</v>
      </c>
      <c r="AW1240" s="1">
        <f t="shared" si="216"/>
        <v>0</v>
      </c>
      <c r="AX1240" s="1">
        <f t="shared" si="217"/>
        <v>0</v>
      </c>
    </row>
    <row r="1241" spans="1:50" s="1" customFormat="1" ht="24.95" customHeight="1" outlineLevel="3" x14ac:dyDescent="0.2">
      <c r="A1241" s="11"/>
      <c r="B1241" s="12">
        <v>840</v>
      </c>
      <c r="C1241" s="15">
        <v>1290</v>
      </c>
      <c r="D1241" s="12">
        <v>7904</v>
      </c>
      <c r="E1241" s="13" t="s">
        <v>506</v>
      </c>
      <c r="F1241" s="13" t="s">
        <v>507</v>
      </c>
      <c r="G1241" s="13" t="s">
        <v>56</v>
      </c>
      <c r="H1241" s="13" t="s">
        <v>40</v>
      </c>
      <c r="I1241" s="12">
        <v>2025</v>
      </c>
      <c r="J1241" s="13" t="s">
        <v>508</v>
      </c>
      <c r="K1241" s="12">
        <v>9785961468588</v>
      </c>
      <c r="L1241" s="13" t="s">
        <v>509</v>
      </c>
      <c r="M1241" s="12">
        <v>336</v>
      </c>
      <c r="N1241" s="14">
        <v>0.65</v>
      </c>
      <c r="O1241" s="12">
        <v>171</v>
      </c>
      <c r="P1241" s="12">
        <v>241</v>
      </c>
      <c r="Q1241" s="12">
        <v>5</v>
      </c>
      <c r="R1241" s="13" t="s">
        <v>94</v>
      </c>
      <c r="S1241" s="13"/>
      <c r="T1241" s="15">
        <v>1000</v>
      </c>
      <c r="U1241" s="13" t="s">
        <v>52</v>
      </c>
      <c r="V1241" s="13" t="s">
        <v>64</v>
      </c>
      <c r="W1241" s="12">
        <v>10</v>
      </c>
      <c r="X1241" s="33" t="str">
        <f>HYPERLINK("https://www.alpinabook.ru/catalog/book-liderstvo-na-vsekh-urovnyakh-berezhlivogo-proizvodstva","ссылка на книгу")</f>
        <v>ссылка на книгу</v>
      </c>
      <c r="Y1241" s="34" t="str">
        <f>HYPERLINK("https://api-enni.alpina.ru/FilePrivilegesApproval/152","https://api-enni.alpina.ru/FilePrivilegesApproval/152")</f>
        <v>https://api-enni.alpina.ru/FilePrivilegesApproval/152</v>
      </c>
      <c r="Z1241" s="13" t="s">
        <v>387</v>
      </c>
      <c r="AT1241" s="1">
        <f t="shared" si="213"/>
        <v>0</v>
      </c>
      <c r="AU1241" s="1">
        <f t="shared" si="214"/>
        <v>0</v>
      </c>
      <c r="AV1241" s="1">
        <f t="shared" si="215"/>
        <v>0</v>
      </c>
      <c r="AW1241" s="1">
        <f t="shared" si="216"/>
        <v>0</v>
      </c>
      <c r="AX1241" s="1">
        <f t="shared" si="217"/>
        <v>0</v>
      </c>
    </row>
    <row r="1242" spans="1:50" s="1" customFormat="1" ht="24.95" customHeight="1" outlineLevel="3" x14ac:dyDescent="0.2">
      <c r="A1242" s="11"/>
      <c r="B1242" s="12">
        <v>790</v>
      </c>
      <c r="C1242" s="15">
        <v>1190</v>
      </c>
      <c r="D1242" s="12">
        <v>30058</v>
      </c>
      <c r="E1242" s="13" t="s">
        <v>4089</v>
      </c>
      <c r="F1242" s="13" t="s">
        <v>4090</v>
      </c>
      <c r="G1242" s="13" t="s">
        <v>97</v>
      </c>
      <c r="H1242" s="13"/>
      <c r="I1242" s="12">
        <v>2025</v>
      </c>
      <c r="J1242" s="13" t="s">
        <v>4091</v>
      </c>
      <c r="K1242" s="12">
        <v>9785206003048</v>
      </c>
      <c r="L1242" s="13" t="s">
        <v>4092</v>
      </c>
      <c r="M1242" s="12">
        <v>208</v>
      </c>
      <c r="N1242" s="14">
        <v>0.35</v>
      </c>
      <c r="O1242" s="12">
        <v>150</v>
      </c>
      <c r="P1242" s="12">
        <v>220</v>
      </c>
      <c r="Q1242" s="12">
        <v>10</v>
      </c>
      <c r="R1242" s="13" t="s">
        <v>43</v>
      </c>
      <c r="S1242" s="13"/>
      <c r="T1242" s="15">
        <v>1005</v>
      </c>
      <c r="U1242" s="13" t="s">
        <v>52</v>
      </c>
      <c r="V1242" s="13" t="s">
        <v>45</v>
      </c>
      <c r="W1242" s="12">
        <v>10</v>
      </c>
      <c r="X1242" s="33" t="str">
        <f>HYPERLINK("https://www.alpinabook.ru/catalog/book-lyudi-vazhnee-protsessov","ссылка на книгу")</f>
        <v>ссылка на книгу</v>
      </c>
      <c r="Y1242" s="34" t="str">
        <f>HYPERLINK("https://api-enni.alpina.ru/FilePrivilegesApproval/834","https://api-enni.alpina.ru/FilePrivilegesApproval/834")</f>
        <v>https://api-enni.alpina.ru/FilePrivilegesApproval/834</v>
      </c>
      <c r="Z1242" s="13"/>
      <c r="AT1242" s="1">
        <f t="shared" si="213"/>
        <v>0</v>
      </c>
      <c r="AU1242" s="1">
        <f t="shared" si="214"/>
        <v>0</v>
      </c>
      <c r="AV1242" s="1">
        <f t="shared" si="215"/>
        <v>0</v>
      </c>
      <c r="AW1242" s="1">
        <f t="shared" si="216"/>
        <v>0</v>
      </c>
      <c r="AX1242" s="1">
        <f t="shared" si="217"/>
        <v>0</v>
      </c>
    </row>
    <row r="1243" spans="1:50" s="1" customFormat="1" ht="24.95" customHeight="1" outlineLevel="3" x14ac:dyDescent="0.2">
      <c r="A1243" s="11"/>
      <c r="B1243" s="12">
        <v>690</v>
      </c>
      <c r="C1243" s="12">
        <v>690</v>
      </c>
      <c r="D1243" s="12">
        <v>12389</v>
      </c>
      <c r="E1243" s="13" t="s">
        <v>4093</v>
      </c>
      <c r="F1243" s="13" t="s">
        <v>4094</v>
      </c>
      <c r="G1243" s="13" t="s">
        <v>56</v>
      </c>
      <c r="H1243" s="13" t="s">
        <v>40</v>
      </c>
      <c r="I1243" s="12">
        <v>2021</v>
      </c>
      <c r="J1243" s="13" t="s">
        <v>4095</v>
      </c>
      <c r="K1243" s="12">
        <v>9785961468304</v>
      </c>
      <c r="L1243" s="13" t="s">
        <v>4096</v>
      </c>
      <c r="M1243" s="12">
        <v>360</v>
      </c>
      <c r="N1243" s="14">
        <v>0.51</v>
      </c>
      <c r="O1243" s="12">
        <v>146</v>
      </c>
      <c r="P1243" s="12">
        <v>216</v>
      </c>
      <c r="Q1243" s="12">
        <v>10</v>
      </c>
      <c r="R1243" s="13" t="s">
        <v>43</v>
      </c>
      <c r="S1243" s="13"/>
      <c r="T1243" s="15">
        <v>4000</v>
      </c>
      <c r="U1243" s="13" t="s">
        <v>52</v>
      </c>
      <c r="V1243" s="13" t="s">
        <v>64</v>
      </c>
      <c r="W1243" s="12">
        <v>10</v>
      </c>
      <c r="X1243" s="33" t="str">
        <f>HYPERLINK("https://www.alpinabook.ru/catalog/book-711846","ссылка на книгу")</f>
        <v>ссылка на книгу</v>
      </c>
      <c r="Y1243" s="34" t="str">
        <f>HYPERLINK("https://api-enni.alpina.ru/FilePrivilegesApproval/108","https://api-enni.alpina.ru/FilePrivilegesApproval/108")</f>
        <v>https://api-enni.alpina.ru/FilePrivilegesApproval/108</v>
      </c>
      <c r="Z1243" s="13"/>
      <c r="AT1243" s="1">
        <f t="shared" si="213"/>
        <v>0</v>
      </c>
      <c r="AU1243" s="1">
        <f t="shared" si="214"/>
        <v>0</v>
      </c>
      <c r="AV1243" s="1">
        <f t="shared" si="215"/>
        <v>0</v>
      </c>
      <c r="AW1243" s="1">
        <f t="shared" si="216"/>
        <v>0</v>
      </c>
      <c r="AX1243" s="1">
        <f t="shared" si="217"/>
        <v>0</v>
      </c>
    </row>
    <row r="1244" spans="1:50" s="1" customFormat="1" ht="24.95" customHeight="1" outlineLevel="3" x14ac:dyDescent="0.2">
      <c r="A1244" s="11"/>
      <c r="B1244" s="12">
        <v>790</v>
      </c>
      <c r="C1244" s="15">
        <v>1190</v>
      </c>
      <c r="D1244" s="12">
        <v>24110</v>
      </c>
      <c r="E1244" s="13" t="s">
        <v>4097</v>
      </c>
      <c r="F1244" s="13" t="s">
        <v>4098</v>
      </c>
      <c r="G1244" s="13" t="s">
        <v>97</v>
      </c>
      <c r="H1244" s="13"/>
      <c r="I1244" s="12">
        <v>2024</v>
      </c>
      <c r="J1244" s="13" t="s">
        <v>4099</v>
      </c>
      <c r="K1244" s="12">
        <v>9785907470514</v>
      </c>
      <c r="L1244" s="13" t="s">
        <v>4100</v>
      </c>
      <c r="M1244" s="12">
        <v>266</v>
      </c>
      <c r="N1244" s="14">
        <v>0.56999999999999995</v>
      </c>
      <c r="O1244" s="12">
        <v>180</v>
      </c>
      <c r="P1244" s="12">
        <v>250</v>
      </c>
      <c r="Q1244" s="12">
        <v>5</v>
      </c>
      <c r="R1244" s="13" t="s">
        <v>94</v>
      </c>
      <c r="S1244" s="13"/>
      <c r="T1244" s="15">
        <v>1000</v>
      </c>
      <c r="U1244" s="13" t="s">
        <v>52</v>
      </c>
      <c r="V1244" s="13" t="s">
        <v>59</v>
      </c>
      <c r="W1244" s="12">
        <v>10</v>
      </c>
      <c r="X1244" s="33" t="str">
        <f>HYPERLINK("https://www.alpinabook.ru/catalog/book-narrativnoe-liderstvo","ссылка на книгу")</f>
        <v>ссылка на книгу</v>
      </c>
      <c r="Y1244" s="34" t="str">
        <f>HYPERLINK("https://api-enni.alpina.ru/FilePrivilegesApproval/237","https://api-enni.alpina.ru/FilePrivilegesApproval/237")</f>
        <v>https://api-enni.alpina.ru/FilePrivilegesApproval/237</v>
      </c>
      <c r="Z1244" s="13"/>
      <c r="AT1244" s="1">
        <f t="shared" si="213"/>
        <v>0</v>
      </c>
      <c r="AU1244" s="1">
        <f t="shared" si="214"/>
        <v>0</v>
      </c>
      <c r="AV1244" s="1">
        <f t="shared" si="215"/>
        <v>0</v>
      </c>
      <c r="AW1244" s="1">
        <f t="shared" si="216"/>
        <v>0</v>
      </c>
      <c r="AX1244" s="1">
        <f t="shared" si="217"/>
        <v>0</v>
      </c>
    </row>
    <row r="1245" spans="1:50" s="1" customFormat="1" ht="24.95" customHeight="1" outlineLevel="3" x14ac:dyDescent="0.2">
      <c r="A1245" s="11"/>
      <c r="B1245" s="12">
        <v>590</v>
      </c>
      <c r="C1245" s="12">
        <v>840</v>
      </c>
      <c r="D1245" s="12">
        <v>8523</v>
      </c>
      <c r="E1245" s="13" t="s">
        <v>4101</v>
      </c>
      <c r="F1245" s="13" t="s">
        <v>4102</v>
      </c>
      <c r="G1245" s="13" t="s">
        <v>56</v>
      </c>
      <c r="H1245" s="13" t="s">
        <v>40</v>
      </c>
      <c r="I1245" s="12">
        <v>2025</v>
      </c>
      <c r="J1245" s="13" t="s">
        <v>4103</v>
      </c>
      <c r="K1245" s="12">
        <v>9785961468052</v>
      </c>
      <c r="L1245" s="13" t="s">
        <v>4104</v>
      </c>
      <c r="M1245" s="12">
        <v>288</v>
      </c>
      <c r="N1245" s="14">
        <v>0.56000000000000005</v>
      </c>
      <c r="O1245" s="12">
        <v>168</v>
      </c>
      <c r="P1245" s="12">
        <v>241</v>
      </c>
      <c r="Q1245" s="12">
        <v>5</v>
      </c>
      <c r="R1245" s="13" t="s">
        <v>94</v>
      </c>
      <c r="S1245" s="13"/>
      <c r="T1245" s="15">
        <v>1000</v>
      </c>
      <c r="U1245" s="13" t="s">
        <v>52</v>
      </c>
      <c r="V1245" s="13" t="s">
        <v>64</v>
      </c>
      <c r="W1245" s="12">
        <v>10</v>
      </c>
      <c r="X1245" s="33" t="str">
        <f>HYPERLINK("https://www.alpinabook.ru/catalog/book-ne-boysya-deystvovat","ссылка на книгу")</f>
        <v>ссылка на книгу</v>
      </c>
      <c r="Y1245" s="34" t="str">
        <f>HYPERLINK("https://api-enni.alpina.ru/FilePrivilegesApproval/2","https://api-enni.alpina.ru/FilePrivilegesApproval/2")</f>
        <v>https://api-enni.alpina.ru/FilePrivilegesApproval/2</v>
      </c>
      <c r="Z1245" s="13" t="s">
        <v>118</v>
      </c>
      <c r="AT1245" s="1">
        <f t="shared" si="213"/>
        <v>0</v>
      </c>
      <c r="AU1245" s="1">
        <f t="shared" si="214"/>
        <v>0</v>
      </c>
      <c r="AV1245" s="1">
        <f t="shared" si="215"/>
        <v>0</v>
      </c>
      <c r="AW1245" s="1">
        <f t="shared" si="216"/>
        <v>0</v>
      </c>
      <c r="AX1245" s="1">
        <f t="shared" si="217"/>
        <v>0</v>
      </c>
    </row>
    <row r="1246" spans="1:50" s="1" customFormat="1" ht="24.95" customHeight="1" outlineLevel="3" x14ac:dyDescent="0.2">
      <c r="A1246" s="26"/>
      <c r="B1246" s="27">
        <v>590</v>
      </c>
      <c r="C1246" s="27">
        <v>840</v>
      </c>
      <c r="D1246" s="27">
        <v>8881</v>
      </c>
      <c r="E1246" s="29" t="s">
        <v>4105</v>
      </c>
      <c r="F1246" s="29" t="s">
        <v>4106</v>
      </c>
      <c r="G1246" s="29" t="s">
        <v>97</v>
      </c>
      <c r="H1246" s="29"/>
      <c r="I1246" s="27">
        <v>2024</v>
      </c>
      <c r="J1246" s="29" t="s">
        <v>4107</v>
      </c>
      <c r="K1246" s="27">
        <v>9785907274877</v>
      </c>
      <c r="L1246" s="29" t="s">
        <v>4108</v>
      </c>
      <c r="M1246" s="27">
        <v>230</v>
      </c>
      <c r="N1246" s="30">
        <v>0.39</v>
      </c>
      <c r="O1246" s="27">
        <v>153</v>
      </c>
      <c r="P1246" s="27">
        <v>216</v>
      </c>
      <c r="Q1246" s="27">
        <v>5</v>
      </c>
      <c r="R1246" s="29" t="s">
        <v>43</v>
      </c>
      <c r="S1246" s="29"/>
      <c r="T1246" s="28">
        <v>1000</v>
      </c>
      <c r="U1246" s="29" t="s">
        <v>52</v>
      </c>
      <c r="V1246" s="29" t="s">
        <v>59</v>
      </c>
      <c r="W1246" s="27">
        <v>10</v>
      </c>
      <c r="X1246" s="37" t="str">
        <f>HYPERLINK("https://www.alpinabook.ru/catalog/book-pervyy-posle-boga","ссылка на книгу")</f>
        <v>ссылка на книгу</v>
      </c>
      <c r="Y1246" s="38" t="str">
        <f>HYPERLINK("https://api-enni.alpina.ru/FilePrivilegesApproval/2","https://api-enni.alpina.ru/FilePrivilegesApproval/2")</f>
        <v>https://api-enni.alpina.ru/FilePrivilegesApproval/2</v>
      </c>
      <c r="Z1246" s="29"/>
      <c r="AT1246" s="1">
        <f t="shared" si="213"/>
        <v>0</v>
      </c>
      <c r="AU1246" s="1">
        <f t="shared" si="214"/>
        <v>0</v>
      </c>
      <c r="AV1246" s="1">
        <f t="shared" si="215"/>
        <v>0</v>
      </c>
      <c r="AW1246" s="1">
        <f t="shared" si="216"/>
        <v>0</v>
      </c>
      <c r="AX1246" s="1">
        <f t="shared" si="217"/>
        <v>0</v>
      </c>
    </row>
    <row r="1247" spans="1:50" s="1" customFormat="1" ht="24.95" customHeight="1" outlineLevel="3" x14ac:dyDescent="0.2">
      <c r="A1247" s="11"/>
      <c r="B1247" s="12">
        <v>690</v>
      </c>
      <c r="C1247" s="15">
        <v>1190</v>
      </c>
      <c r="D1247" s="12">
        <v>7619</v>
      </c>
      <c r="E1247" s="13" t="s">
        <v>4053</v>
      </c>
      <c r="F1247" s="13" t="s">
        <v>4109</v>
      </c>
      <c r="G1247" s="13" t="s">
        <v>56</v>
      </c>
      <c r="H1247" s="13" t="s">
        <v>40</v>
      </c>
      <c r="I1247" s="12">
        <v>2025</v>
      </c>
      <c r="J1247" s="13" t="s">
        <v>4110</v>
      </c>
      <c r="K1247" s="12">
        <v>9785961467802</v>
      </c>
      <c r="L1247" s="13" t="s">
        <v>4111</v>
      </c>
      <c r="M1247" s="12">
        <v>264</v>
      </c>
      <c r="N1247" s="14">
        <v>0.52</v>
      </c>
      <c r="O1247" s="12">
        <v>168</v>
      </c>
      <c r="P1247" s="12">
        <v>241</v>
      </c>
      <c r="Q1247" s="12">
        <v>8</v>
      </c>
      <c r="R1247" s="13" t="s">
        <v>94</v>
      </c>
      <c r="S1247" s="13" t="s">
        <v>4057</v>
      </c>
      <c r="T1247" s="15">
        <v>4000</v>
      </c>
      <c r="U1247" s="13" t="s">
        <v>52</v>
      </c>
      <c r="V1247" s="13" t="s">
        <v>64</v>
      </c>
      <c r="W1247" s="12">
        <v>10</v>
      </c>
      <c r="X1247" s="33" t="str">
        <f>HYPERLINK("https://www.alpinabook.ru/catalog/book-razvitie-liderov","ссылка на книгу")</f>
        <v>ссылка на книгу</v>
      </c>
      <c r="Y1247" s="34" t="str">
        <f>HYPERLINK("https://api-enni.alpina.ru/FilePrivilegesApproval/2","https://api-enni.alpina.ru/FilePrivilegesApproval/2")</f>
        <v>https://api-enni.alpina.ru/FilePrivilegesApproval/2</v>
      </c>
      <c r="Z1247" s="13" t="s">
        <v>865</v>
      </c>
      <c r="AT1247" s="1">
        <f t="shared" si="213"/>
        <v>0</v>
      </c>
      <c r="AU1247" s="1">
        <f t="shared" si="214"/>
        <v>0</v>
      </c>
      <c r="AV1247" s="1">
        <f t="shared" si="215"/>
        <v>0</v>
      </c>
      <c r="AW1247" s="1">
        <f t="shared" si="216"/>
        <v>0</v>
      </c>
      <c r="AX1247" s="1">
        <f t="shared" si="217"/>
        <v>0</v>
      </c>
    </row>
    <row r="1248" spans="1:50" s="1" customFormat="1" ht="24.95" customHeight="1" outlineLevel="3" x14ac:dyDescent="0.2">
      <c r="A1248" s="26"/>
      <c r="B1248" s="27">
        <v>490</v>
      </c>
      <c r="C1248" s="27">
        <v>740</v>
      </c>
      <c r="D1248" s="27">
        <v>7611</v>
      </c>
      <c r="E1248" s="29" t="s">
        <v>4112</v>
      </c>
      <c r="F1248" s="29" t="s">
        <v>4113</v>
      </c>
      <c r="G1248" s="29" t="s">
        <v>56</v>
      </c>
      <c r="H1248" s="29" t="s">
        <v>40</v>
      </c>
      <c r="I1248" s="27">
        <v>2024</v>
      </c>
      <c r="J1248" s="29" t="s">
        <v>4114</v>
      </c>
      <c r="K1248" s="27">
        <v>9785961464016</v>
      </c>
      <c r="L1248" s="29" t="s">
        <v>4115</v>
      </c>
      <c r="M1248" s="27">
        <v>104</v>
      </c>
      <c r="N1248" s="30">
        <v>0.24</v>
      </c>
      <c r="O1248" s="27">
        <v>153</v>
      </c>
      <c r="P1248" s="27">
        <v>216</v>
      </c>
      <c r="Q1248" s="27">
        <v>11</v>
      </c>
      <c r="R1248" s="29" t="s">
        <v>43</v>
      </c>
      <c r="S1248" s="29"/>
      <c r="T1248" s="28">
        <v>1000</v>
      </c>
      <c r="U1248" s="29" t="s">
        <v>52</v>
      </c>
      <c r="V1248" s="29" t="s">
        <v>64</v>
      </c>
      <c r="W1248" s="27">
        <v>10</v>
      </c>
      <c r="X1248" s="37" t="str">
        <f>HYPERLINK("https://www.alpinabook.ru/catalog/book-redizayn-liderstva","ссылка на книгу")</f>
        <v>ссылка на книгу</v>
      </c>
      <c r="Y1248" s="38" t="str">
        <f>HYPERLINK("https://api-enni.alpina.ru/FilePrivilegesApproval/2","https://api-enni.alpina.ru/FilePrivilegesApproval/2")</f>
        <v>https://api-enni.alpina.ru/FilePrivilegesApproval/2</v>
      </c>
      <c r="Z1248" s="29"/>
      <c r="AT1248" s="1">
        <f t="shared" si="213"/>
        <v>0</v>
      </c>
      <c r="AU1248" s="1">
        <f t="shared" si="214"/>
        <v>0</v>
      </c>
      <c r="AV1248" s="1">
        <f t="shared" si="215"/>
        <v>0</v>
      </c>
      <c r="AW1248" s="1">
        <f t="shared" si="216"/>
        <v>0</v>
      </c>
      <c r="AX1248" s="1">
        <f t="shared" si="217"/>
        <v>0</v>
      </c>
    </row>
    <row r="1249" spans="1:50" s="1" customFormat="1" ht="24.95" customHeight="1" outlineLevel="3" x14ac:dyDescent="0.2">
      <c r="A1249" s="11"/>
      <c r="B1249" s="12">
        <v>690</v>
      </c>
      <c r="C1249" s="12">
        <v>990</v>
      </c>
      <c r="D1249" s="12">
        <v>26616</v>
      </c>
      <c r="E1249" s="13" t="s">
        <v>707</v>
      </c>
      <c r="F1249" s="13" t="s">
        <v>708</v>
      </c>
      <c r="G1249" s="13" t="s">
        <v>97</v>
      </c>
      <c r="H1249" s="13"/>
      <c r="I1249" s="12">
        <v>2023</v>
      </c>
      <c r="J1249" s="13" t="s">
        <v>709</v>
      </c>
      <c r="K1249" s="12">
        <v>9785206000948</v>
      </c>
      <c r="L1249" s="13" t="s">
        <v>710</v>
      </c>
      <c r="M1249" s="12">
        <v>172</v>
      </c>
      <c r="N1249" s="14">
        <v>0.37</v>
      </c>
      <c r="O1249" s="12">
        <v>150</v>
      </c>
      <c r="P1249" s="12">
        <v>220</v>
      </c>
      <c r="Q1249" s="12">
        <v>10</v>
      </c>
      <c r="R1249" s="13" t="s">
        <v>43</v>
      </c>
      <c r="S1249" s="13"/>
      <c r="T1249" s="15">
        <v>1000</v>
      </c>
      <c r="U1249" s="13" t="s">
        <v>52</v>
      </c>
      <c r="V1249" s="13" t="s">
        <v>59</v>
      </c>
      <c r="W1249" s="12">
        <v>10</v>
      </c>
      <c r="X1249" s="33" t="str">
        <f>HYPERLINK("https://www.alpinabook.ru/catalog/book-svobodnoe-pogruzhenie","ссылка на книгу")</f>
        <v>ссылка на книгу</v>
      </c>
      <c r="Y1249" s="34" t="str">
        <f>HYPERLINK("https://api-enni.alpina.ru/FilePrivilegesApproval/168","https://api-enni.alpina.ru/FilePrivilegesApproval/168")</f>
        <v>https://api-enni.alpina.ru/FilePrivilegesApproval/168</v>
      </c>
      <c r="Z1249" s="13"/>
      <c r="AT1249" s="1">
        <f t="shared" si="213"/>
        <v>0</v>
      </c>
      <c r="AU1249" s="1">
        <f t="shared" si="214"/>
        <v>0</v>
      </c>
      <c r="AV1249" s="1">
        <f t="shared" si="215"/>
        <v>0</v>
      </c>
      <c r="AW1249" s="1">
        <f t="shared" si="216"/>
        <v>0</v>
      </c>
      <c r="AX1249" s="1">
        <f t="shared" si="217"/>
        <v>0</v>
      </c>
    </row>
    <row r="1250" spans="1:50" s="1" customFormat="1" ht="24.95" customHeight="1" outlineLevel="3" x14ac:dyDescent="0.2">
      <c r="A1250" s="11"/>
      <c r="B1250" s="12">
        <v>690</v>
      </c>
      <c r="C1250" s="12">
        <v>690</v>
      </c>
      <c r="D1250" s="12">
        <v>23332</v>
      </c>
      <c r="E1250" s="13" t="s">
        <v>4116</v>
      </c>
      <c r="F1250" s="13" t="s">
        <v>4117</v>
      </c>
      <c r="G1250" s="13" t="s">
        <v>56</v>
      </c>
      <c r="H1250" s="13" t="s">
        <v>40</v>
      </c>
      <c r="I1250" s="12">
        <v>2022</v>
      </c>
      <c r="J1250" s="13" t="s">
        <v>4118</v>
      </c>
      <c r="K1250" s="12">
        <v>9785961475272</v>
      </c>
      <c r="L1250" s="13" t="s">
        <v>4119</v>
      </c>
      <c r="M1250" s="12">
        <v>314</v>
      </c>
      <c r="N1250" s="14">
        <v>0.62</v>
      </c>
      <c r="O1250" s="12">
        <v>168</v>
      </c>
      <c r="P1250" s="12">
        <v>241</v>
      </c>
      <c r="Q1250" s="12">
        <v>7</v>
      </c>
      <c r="R1250" s="13" t="s">
        <v>94</v>
      </c>
      <c r="S1250" s="13"/>
      <c r="T1250" s="15">
        <v>3000</v>
      </c>
      <c r="U1250" s="13" t="s">
        <v>52</v>
      </c>
      <c r="V1250" s="13" t="s">
        <v>64</v>
      </c>
      <c r="W1250" s="12">
        <v>10</v>
      </c>
      <c r="X1250" s="33" t="str">
        <f>HYPERLINK("https://www.alpinabook.ru/catalog/book-sovershenstvo-seychas","ссылка на книгу")</f>
        <v>ссылка на книгу</v>
      </c>
      <c r="Y1250" s="34" t="str">
        <f>HYPERLINK("https://api-enni.alpina.ru/FilePrivilegesApproval/122","https://api-enni.alpina.ru/FilePrivilegesApproval/122")</f>
        <v>https://api-enni.alpina.ru/FilePrivilegesApproval/122</v>
      </c>
      <c r="Z1250" s="13"/>
      <c r="AT1250" s="1">
        <f t="shared" si="213"/>
        <v>0</v>
      </c>
      <c r="AU1250" s="1">
        <f t="shared" si="214"/>
        <v>0</v>
      </c>
      <c r="AV1250" s="1">
        <f t="shared" si="215"/>
        <v>0</v>
      </c>
      <c r="AW1250" s="1">
        <f t="shared" si="216"/>
        <v>0</v>
      </c>
      <c r="AX1250" s="1">
        <f t="shared" si="217"/>
        <v>0</v>
      </c>
    </row>
    <row r="1251" spans="1:50" s="1" customFormat="1" ht="24.95" customHeight="1" outlineLevel="3" x14ac:dyDescent="0.2">
      <c r="A1251" s="11"/>
      <c r="B1251" s="12">
        <v>740</v>
      </c>
      <c r="C1251" s="15">
        <v>1090</v>
      </c>
      <c r="D1251" s="12">
        <v>23594</v>
      </c>
      <c r="E1251" s="13" t="s">
        <v>4120</v>
      </c>
      <c r="F1251" s="13" t="s">
        <v>4121</v>
      </c>
      <c r="G1251" s="13" t="s">
        <v>97</v>
      </c>
      <c r="H1251" s="13"/>
      <c r="I1251" s="12">
        <v>2024</v>
      </c>
      <c r="J1251" s="13" t="s">
        <v>4122</v>
      </c>
      <c r="K1251" s="12">
        <v>9785206000214</v>
      </c>
      <c r="L1251" s="13" t="s">
        <v>4123</v>
      </c>
      <c r="M1251" s="12">
        <v>262</v>
      </c>
      <c r="N1251" s="14">
        <v>0.4</v>
      </c>
      <c r="O1251" s="12">
        <v>150</v>
      </c>
      <c r="P1251" s="12">
        <v>220</v>
      </c>
      <c r="Q1251" s="12">
        <v>6</v>
      </c>
      <c r="R1251" s="13" t="s">
        <v>43</v>
      </c>
      <c r="S1251" s="13"/>
      <c r="T1251" s="15">
        <v>1500</v>
      </c>
      <c r="U1251" s="13" t="s">
        <v>52</v>
      </c>
      <c r="V1251" s="13" t="s">
        <v>45</v>
      </c>
      <c r="W1251" s="12">
        <v>10</v>
      </c>
      <c r="X1251" s="33" t="str">
        <f>HYPERLINK("https://www.alpinabook.ru/catalog/book-tandemokratiya","ссылка на книгу")</f>
        <v>ссылка на книгу</v>
      </c>
      <c r="Y1251" s="34" t="str">
        <f>HYPERLINK("https://api-enni.alpina.ru/FilePrivilegesApproval/155","https://api-enni.alpina.ru/FilePrivilegesApproval/155")</f>
        <v>https://api-enni.alpina.ru/FilePrivilegesApproval/155</v>
      </c>
      <c r="Z1251" s="13"/>
      <c r="AT1251" s="1">
        <f t="shared" si="213"/>
        <v>0</v>
      </c>
      <c r="AU1251" s="1">
        <f t="shared" si="214"/>
        <v>0</v>
      </c>
      <c r="AV1251" s="1">
        <f t="shared" si="215"/>
        <v>0</v>
      </c>
      <c r="AW1251" s="1">
        <f t="shared" si="216"/>
        <v>0</v>
      </c>
      <c r="AX1251" s="1">
        <f t="shared" si="217"/>
        <v>0</v>
      </c>
    </row>
    <row r="1252" spans="1:50" s="1" customFormat="1" ht="24.95" customHeight="1" outlineLevel="3" x14ac:dyDescent="0.2">
      <c r="A1252" s="11"/>
      <c r="B1252" s="12">
        <v>540</v>
      </c>
      <c r="C1252" s="12">
        <v>790</v>
      </c>
      <c r="D1252" s="12">
        <v>25621</v>
      </c>
      <c r="E1252" s="13" t="s">
        <v>1322</v>
      </c>
      <c r="F1252" s="13" t="s">
        <v>4124</v>
      </c>
      <c r="G1252" s="13" t="s">
        <v>56</v>
      </c>
      <c r="H1252" s="13"/>
      <c r="I1252" s="12">
        <v>2025</v>
      </c>
      <c r="J1252" s="13" t="s">
        <v>4125</v>
      </c>
      <c r="K1252" s="12">
        <v>9785961478495</v>
      </c>
      <c r="L1252" s="13" t="s">
        <v>4126</v>
      </c>
      <c r="M1252" s="12">
        <v>220</v>
      </c>
      <c r="N1252" s="14">
        <v>0.38</v>
      </c>
      <c r="O1252" s="12">
        <v>150</v>
      </c>
      <c r="P1252" s="12">
        <v>220</v>
      </c>
      <c r="Q1252" s="12">
        <v>8</v>
      </c>
      <c r="R1252" s="13" t="s">
        <v>43</v>
      </c>
      <c r="S1252" s="13"/>
      <c r="T1252" s="15">
        <v>1000</v>
      </c>
      <c r="U1252" s="13" t="s">
        <v>52</v>
      </c>
      <c r="V1252" s="13" t="s">
        <v>269</v>
      </c>
      <c r="W1252" s="12">
        <v>10</v>
      </c>
      <c r="X1252" s="33" t="str">
        <f>HYPERLINK("https://www.alpinabook.ru/catalog/book-emotsionalnyy-intellekt-lidera","ссылка на книгу")</f>
        <v>ссылка на книгу</v>
      </c>
      <c r="Y1252" s="34" t="str">
        <f>HYPERLINK("https://api-enni.alpina.ru/FilePrivilegesApproval/152","https://api-enni.alpina.ru/FilePrivilegesApproval/152")</f>
        <v>https://api-enni.alpina.ru/FilePrivilegesApproval/152</v>
      </c>
      <c r="Z1252" s="13" t="s">
        <v>2940</v>
      </c>
      <c r="AT1252" s="1">
        <f t="shared" si="213"/>
        <v>0</v>
      </c>
      <c r="AU1252" s="1">
        <f t="shared" si="214"/>
        <v>0</v>
      </c>
      <c r="AV1252" s="1">
        <f t="shared" si="215"/>
        <v>0</v>
      </c>
      <c r="AW1252" s="1">
        <f t="shared" si="216"/>
        <v>0</v>
      </c>
      <c r="AX1252" s="1">
        <f t="shared" si="217"/>
        <v>0</v>
      </c>
    </row>
    <row r="1253" spans="1:50" ht="11.1" customHeight="1" outlineLevel="2" x14ac:dyDescent="0.2">
      <c r="A1253" s="40" t="s">
        <v>4127</v>
      </c>
      <c r="B1253" s="40"/>
      <c r="C1253" s="40"/>
      <c r="D1253" s="40"/>
      <c r="E1253" s="40"/>
      <c r="F1253" s="40"/>
      <c r="G1253" s="40"/>
      <c r="H1253" s="40"/>
      <c r="I1253" s="40"/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20"/>
    </row>
    <row r="1254" spans="1:50" s="1" customFormat="1" ht="24.95" customHeight="1" outlineLevel="3" x14ac:dyDescent="0.2">
      <c r="A1254" s="11"/>
      <c r="B1254" s="12">
        <v>690</v>
      </c>
      <c r="C1254" s="12">
        <v>990</v>
      </c>
      <c r="D1254" s="12">
        <v>31181</v>
      </c>
      <c r="E1254" s="13" t="s">
        <v>273</v>
      </c>
      <c r="F1254" s="13" t="s">
        <v>274</v>
      </c>
      <c r="G1254" s="13" t="s">
        <v>56</v>
      </c>
      <c r="H1254" s="13"/>
      <c r="I1254" s="12">
        <v>2025</v>
      </c>
      <c r="J1254" s="13" t="s">
        <v>275</v>
      </c>
      <c r="K1254" s="12">
        <v>9785961497823</v>
      </c>
      <c r="L1254" s="13" t="s">
        <v>276</v>
      </c>
      <c r="M1254" s="12">
        <v>308</v>
      </c>
      <c r="N1254" s="14">
        <v>0.4</v>
      </c>
      <c r="O1254" s="12">
        <v>150</v>
      </c>
      <c r="P1254" s="12">
        <v>210</v>
      </c>
      <c r="Q1254" s="12">
        <v>16</v>
      </c>
      <c r="R1254" s="13" t="s">
        <v>43</v>
      </c>
      <c r="S1254" s="13"/>
      <c r="T1254" s="15">
        <v>5000</v>
      </c>
      <c r="U1254" s="13" t="s">
        <v>44</v>
      </c>
      <c r="V1254" s="13" t="s">
        <v>59</v>
      </c>
      <c r="W1254" s="12">
        <v>10</v>
      </c>
      <c r="X1254" s="33" t="str">
        <f>HYPERLINK("https://www.alpinabook.ru/catalog/book-chatgpt-na-kazhdyy-den","ссылка на книгу")</f>
        <v>ссылка на книгу</v>
      </c>
      <c r="Y1254" s="34" t="str">
        <f>HYPERLINK("https://api-enni.alpina.ru/FilePrivilegesApproval/571","https://api-enni.alpina.ru/FilePrivilegesApproval/571")</f>
        <v>https://api-enni.alpina.ru/FilePrivilegesApproval/571</v>
      </c>
      <c r="Z1254" s="13" t="s">
        <v>277</v>
      </c>
      <c r="AT1254" s="1">
        <f t="shared" ref="AT1254:AT1275" si="218">IF($A1254&lt;&gt;0,1,0)</f>
        <v>0</v>
      </c>
      <c r="AU1254" s="1">
        <f t="shared" ref="AU1254:AU1275" si="219">$A1254*$B1254</f>
        <v>0</v>
      </c>
      <c r="AV1254" s="1">
        <f t="shared" ref="AV1254:AV1275" si="220">$A1254*$N1254</f>
        <v>0</v>
      </c>
      <c r="AW1254" s="1">
        <f t="shared" ref="AW1254:AW1275" si="221">IF($Q1254=0,0,INT($A1254/$Q1254))</f>
        <v>0</v>
      </c>
      <c r="AX1254" s="1">
        <f t="shared" ref="AX1254:AX1275" si="222">$A1254-$AW1254*$Q1254</f>
        <v>0</v>
      </c>
    </row>
    <row r="1255" spans="1:50" s="1" customFormat="1" ht="24.95" customHeight="1" outlineLevel="3" x14ac:dyDescent="0.2">
      <c r="A1255" s="11"/>
      <c r="B1255" s="12">
        <v>590</v>
      </c>
      <c r="C1255" s="12">
        <v>840</v>
      </c>
      <c r="D1255" s="12">
        <v>32602</v>
      </c>
      <c r="E1255" s="13" t="s">
        <v>273</v>
      </c>
      <c r="F1255" s="13" t="s">
        <v>274</v>
      </c>
      <c r="G1255" s="13" t="s">
        <v>56</v>
      </c>
      <c r="H1255" s="13"/>
      <c r="I1255" s="12">
        <v>2025</v>
      </c>
      <c r="J1255" s="13" t="s">
        <v>4128</v>
      </c>
      <c r="K1255" s="12">
        <v>9785006302624</v>
      </c>
      <c r="L1255" s="13" t="s">
        <v>4129</v>
      </c>
      <c r="M1255" s="12">
        <v>308</v>
      </c>
      <c r="N1255" s="14">
        <v>0.38</v>
      </c>
      <c r="O1255" s="12">
        <v>140</v>
      </c>
      <c r="P1255" s="12">
        <v>210</v>
      </c>
      <c r="Q1255" s="12">
        <v>5</v>
      </c>
      <c r="R1255" s="13" t="s">
        <v>43</v>
      </c>
      <c r="S1255" s="13"/>
      <c r="T1255" s="15">
        <v>2000</v>
      </c>
      <c r="U1255" s="13" t="s">
        <v>44</v>
      </c>
      <c r="V1255" s="13" t="s">
        <v>59</v>
      </c>
      <c r="W1255" s="12">
        <v>10</v>
      </c>
      <c r="X1255" s="33" t="str">
        <f>HYPERLINK("https://www.alpinabook.ru/catalog/book-chatgpt-na-kazhdyy-den","ссылка на книгу")</f>
        <v>ссылка на книгу</v>
      </c>
      <c r="Y1255" s="34" t="str">
        <f>HYPERLINK("https://api-enni.alpina.ru/FilePrivilegesApproval/571","https://api-enni.alpina.ru/FilePrivilegesApproval/571")</f>
        <v>https://api-enni.alpina.ru/FilePrivilegesApproval/571</v>
      </c>
      <c r="Z1255" s="13" t="s">
        <v>118</v>
      </c>
      <c r="AT1255" s="1">
        <f t="shared" si="218"/>
        <v>0</v>
      </c>
      <c r="AU1255" s="1">
        <f t="shared" si="219"/>
        <v>0</v>
      </c>
      <c r="AV1255" s="1">
        <f t="shared" si="220"/>
        <v>0</v>
      </c>
      <c r="AW1255" s="1">
        <f t="shared" si="221"/>
        <v>0</v>
      </c>
      <c r="AX1255" s="1">
        <f t="shared" si="222"/>
        <v>0</v>
      </c>
    </row>
    <row r="1256" spans="1:50" s="1" customFormat="1" ht="24.95" customHeight="1" outlineLevel="3" x14ac:dyDescent="0.2">
      <c r="A1256" s="11"/>
      <c r="B1256" s="12">
        <v>890</v>
      </c>
      <c r="C1256" s="15">
        <v>1290</v>
      </c>
      <c r="D1256" s="12">
        <v>12214</v>
      </c>
      <c r="E1256" s="13" t="s">
        <v>278</v>
      </c>
      <c r="F1256" s="13" t="s">
        <v>279</v>
      </c>
      <c r="G1256" s="13" t="s">
        <v>97</v>
      </c>
      <c r="H1256" s="13" t="s">
        <v>40</v>
      </c>
      <c r="I1256" s="12">
        <v>2024</v>
      </c>
      <c r="J1256" s="13" t="s">
        <v>280</v>
      </c>
      <c r="K1256" s="12">
        <v>9785604232071</v>
      </c>
      <c r="L1256" s="13" t="s">
        <v>281</v>
      </c>
      <c r="M1256" s="12">
        <v>296</v>
      </c>
      <c r="N1256" s="14">
        <v>0.59</v>
      </c>
      <c r="O1256" s="12">
        <v>171</v>
      </c>
      <c r="P1256" s="12">
        <v>241</v>
      </c>
      <c r="Q1256" s="12">
        <v>10</v>
      </c>
      <c r="R1256" s="13" t="s">
        <v>94</v>
      </c>
      <c r="S1256" s="13"/>
      <c r="T1256" s="15">
        <v>1000</v>
      </c>
      <c r="U1256" s="13" t="s">
        <v>52</v>
      </c>
      <c r="V1256" s="13" t="s">
        <v>59</v>
      </c>
      <c r="W1256" s="12">
        <v>10</v>
      </c>
      <c r="X1256" s="33" t="str">
        <f>HYPERLINK("https://www.alpinabook.ru/catalog/book-digital-scale","ссылка на книгу")</f>
        <v>ссылка на книгу</v>
      </c>
      <c r="Y1256" s="34" t="str">
        <f>HYPERLINK("https://api-enni.alpina.ru/FilePrivilegesApproval/129","https://api-enni.alpina.ru/FilePrivilegesApproval/129")</f>
        <v>https://api-enni.alpina.ru/FilePrivilegesApproval/129</v>
      </c>
      <c r="Z1256" s="13" t="s">
        <v>282</v>
      </c>
      <c r="AT1256" s="1">
        <f t="shared" si="218"/>
        <v>0</v>
      </c>
      <c r="AU1256" s="1">
        <f t="shared" si="219"/>
        <v>0</v>
      </c>
      <c r="AV1256" s="1">
        <f t="shared" si="220"/>
        <v>0</v>
      </c>
      <c r="AW1256" s="1">
        <f t="shared" si="221"/>
        <v>0</v>
      </c>
      <c r="AX1256" s="1">
        <f t="shared" si="222"/>
        <v>0</v>
      </c>
    </row>
    <row r="1257" spans="1:50" s="1" customFormat="1" ht="24.95" customHeight="1" outlineLevel="3" x14ac:dyDescent="0.2">
      <c r="A1257" s="11"/>
      <c r="B1257" s="12">
        <v>690</v>
      </c>
      <c r="C1257" s="12">
        <v>990</v>
      </c>
      <c r="D1257" s="12">
        <v>28232</v>
      </c>
      <c r="E1257" s="13" t="s">
        <v>4130</v>
      </c>
      <c r="F1257" s="13" t="s">
        <v>4131</v>
      </c>
      <c r="G1257" s="13" t="s">
        <v>97</v>
      </c>
      <c r="H1257" s="13"/>
      <c r="I1257" s="12">
        <v>2024</v>
      </c>
      <c r="J1257" s="13" t="s">
        <v>4132</v>
      </c>
      <c r="K1257" s="12">
        <v>9785206001976</v>
      </c>
      <c r="L1257" s="13" t="s">
        <v>4133</v>
      </c>
      <c r="M1257" s="12">
        <v>162</v>
      </c>
      <c r="N1257" s="14">
        <v>0.3</v>
      </c>
      <c r="O1257" s="12">
        <v>150</v>
      </c>
      <c r="P1257" s="12">
        <v>220</v>
      </c>
      <c r="Q1257" s="12">
        <v>8</v>
      </c>
      <c r="R1257" s="13" t="s">
        <v>43</v>
      </c>
      <c r="S1257" s="13"/>
      <c r="T1257" s="15">
        <v>1000</v>
      </c>
      <c r="U1257" s="13" t="s">
        <v>52</v>
      </c>
      <c r="V1257" s="13" t="s">
        <v>59</v>
      </c>
      <c r="W1257" s="12">
        <v>10</v>
      </c>
      <c r="X1257" s="33" t="str">
        <f>HYPERLINK("https://www.alpinabook.ru/catalog/book-biznes-s-serdtsem","ссылка на книгу")</f>
        <v>ссылка на книгу</v>
      </c>
      <c r="Y1257" s="34" t="str">
        <f>HYPERLINK("https://api-enni.alpina.ru/FilePrivilegesApproval/286","https://api-enni.alpina.ru/FilePrivilegesApproval/286")</f>
        <v>https://api-enni.alpina.ru/FilePrivilegesApproval/286</v>
      </c>
      <c r="Z1257" s="13" t="s">
        <v>775</v>
      </c>
      <c r="AT1257" s="1">
        <f t="shared" si="218"/>
        <v>0</v>
      </c>
      <c r="AU1257" s="1">
        <f t="shared" si="219"/>
        <v>0</v>
      </c>
      <c r="AV1257" s="1">
        <f t="shared" si="220"/>
        <v>0</v>
      </c>
      <c r="AW1257" s="1">
        <f t="shared" si="221"/>
        <v>0</v>
      </c>
      <c r="AX1257" s="1">
        <f t="shared" si="222"/>
        <v>0</v>
      </c>
    </row>
    <row r="1258" spans="1:50" s="1" customFormat="1" ht="24.95" customHeight="1" outlineLevel="3" x14ac:dyDescent="0.2">
      <c r="A1258" s="26"/>
      <c r="B1258" s="27">
        <v>590</v>
      </c>
      <c r="C1258" s="27">
        <v>840</v>
      </c>
      <c r="D1258" s="27">
        <v>11498</v>
      </c>
      <c r="E1258" s="29" t="s">
        <v>4134</v>
      </c>
      <c r="F1258" s="29" t="s">
        <v>4135</v>
      </c>
      <c r="G1258" s="29" t="s">
        <v>56</v>
      </c>
      <c r="H1258" s="29" t="s">
        <v>40</v>
      </c>
      <c r="I1258" s="27">
        <v>2019</v>
      </c>
      <c r="J1258" s="29" t="s">
        <v>4136</v>
      </c>
      <c r="K1258" s="27">
        <v>9785961426564</v>
      </c>
      <c r="L1258" s="29" t="s">
        <v>4137</v>
      </c>
      <c r="M1258" s="27">
        <v>544</v>
      </c>
      <c r="N1258" s="30">
        <v>0.75</v>
      </c>
      <c r="O1258" s="27">
        <v>146</v>
      </c>
      <c r="P1258" s="27">
        <v>216</v>
      </c>
      <c r="Q1258" s="27">
        <v>8</v>
      </c>
      <c r="R1258" s="29" t="s">
        <v>43</v>
      </c>
      <c r="S1258" s="29"/>
      <c r="T1258" s="28">
        <v>2500</v>
      </c>
      <c r="U1258" s="29" t="s">
        <v>52</v>
      </c>
      <c r="V1258" s="29" t="s">
        <v>59</v>
      </c>
      <c r="W1258" s="27">
        <v>10</v>
      </c>
      <c r="X1258" s="37" t="str">
        <f>HYPERLINK("https://www.alpinabook.ru/catalog/book-555675","ссылка на книгу")</f>
        <v>ссылка на книгу</v>
      </c>
      <c r="Y1258" s="38" t="str">
        <f>HYPERLINK("https://api-enni.alpina.ru/FilePrivilegesApproval/244","https://api-enni.alpina.ru/FilePrivilegesApproval/244")</f>
        <v>https://api-enni.alpina.ru/FilePrivilegesApproval/244</v>
      </c>
      <c r="Z1258" s="29"/>
      <c r="AT1258" s="1">
        <f t="shared" si="218"/>
        <v>0</v>
      </c>
      <c r="AU1258" s="1">
        <f t="shared" si="219"/>
        <v>0</v>
      </c>
      <c r="AV1258" s="1">
        <f t="shared" si="220"/>
        <v>0</v>
      </c>
      <c r="AW1258" s="1">
        <f t="shared" si="221"/>
        <v>0</v>
      </c>
      <c r="AX1258" s="1">
        <f t="shared" si="222"/>
        <v>0</v>
      </c>
    </row>
    <row r="1259" spans="1:50" s="1" customFormat="1" ht="24.95" customHeight="1" outlineLevel="3" x14ac:dyDescent="0.2">
      <c r="A1259" s="11"/>
      <c r="B1259" s="12">
        <v>790</v>
      </c>
      <c r="C1259" s="12">
        <v>790</v>
      </c>
      <c r="D1259" s="12">
        <v>26693</v>
      </c>
      <c r="E1259" s="13" t="s">
        <v>4138</v>
      </c>
      <c r="F1259" s="13" t="s">
        <v>4139</v>
      </c>
      <c r="G1259" s="13" t="s">
        <v>97</v>
      </c>
      <c r="H1259" s="13"/>
      <c r="I1259" s="12">
        <v>2023</v>
      </c>
      <c r="J1259" s="13" t="s">
        <v>4140</v>
      </c>
      <c r="K1259" s="12">
        <v>9785206000955</v>
      </c>
      <c r="L1259" s="13" t="s">
        <v>4141</v>
      </c>
      <c r="M1259" s="12">
        <v>182</v>
      </c>
      <c r="N1259" s="14">
        <v>0.32</v>
      </c>
      <c r="O1259" s="12">
        <v>150</v>
      </c>
      <c r="P1259" s="12">
        <v>220</v>
      </c>
      <c r="Q1259" s="12">
        <v>12</v>
      </c>
      <c r="R1259" s="13" t="s">
        <v>43</v>
      </c>
      <c r="S1259" s="13"/>
      <c r="T1259" s="15">
        <v>1005</v>
      </c>
      <c r="U1259" s="13" t="s">
        <v>52</v>
      </c>
      <c r="V1259" s="13" t="s">
        <v>59</v>
      </c>
      <c r="W1259" s="12">
        <v>10</v>
      </c>
      <c r="X1259" s="33" t="str">
        <f>HYPERLINK("https://www.alpinabook.ru/catalog/book-gonka-na-million","ссылка на книгу")</f>
        <v>ссылка на книгу</v>
      </c>
      <c r="Y1259" s="34" t="str">
        <f>HYPERLINK("https://api-enni.alpina.ru/FilePrivilegesApproval/251","https://api-enni.alpina.ru/FilePrivilegesApproval/251")</f>
        <v>https://api-enni.alpina.ru/FilePrivilegesApproval/251</v>
      </c>
      <c r="Z1259" s="13"/>
      <c r="AT1259" s="1">
        <f t="shared" si="218"/>
        <v>0</v>
      </c>
      <c r="AU1259" s="1">
        <f t="shared" si="219"/>
        <v>0</v>
      </c>
      <c r="AV1259" s="1">
        <f t="shared" si="220"/>
        <v>0</v>
      </c>
      <c r="AW1259" s="1">
        <f t="shared" si="221"/>
        <v>0</v>
      </c>
      <c r="AX1259" s="1">
        <f t="shared" si="222"/>
        <v>0</v>
      </c>
    </row>
    <row r="1260" spans="1:50" s="1" customFormat="1" ht="24.95" customHeight="1" outlineLevel="3" x14ac:dyDescent="0.2">
      <c r="A1260" s="26"/>
      <c r="B1260" s="27">
        <v>460</v>
      </c>
      <c r="C1260" s="27">
        <v>690</v>
      </c>
      <c r="D1260" s="27">
        <v>5491</v>
      </c>
      <c r="E1260" s="29" t="s">
        <v>4142</v>
      </c>
      <c r="F1260" s="29" t="s">
        <v>4143</v>
      </c>
      <c r="G1260" s="29" t="s">
        <v>97</v>
      </c>
      <c r="H1260" s="29" t="s">
        <v>40</v>
      </c>
      <c r="I1260" s="27">
        <v>2024</v>
      </c>
      <c r="J1260" s="29" t="s">
        <v>4144</v>
      </c>
      <c r="K1260" s="27">
        <v>9785907274921</v>
      </c>
      <c r="L1260" s="29" t="s">
        <v>4145</v>
      </c>
      <c r="M1260" s="27">
        <v>118</v>
      </c>
      <c r="N1260" s="30">
        <v>0.27</v>
      </c>
      <c r="O1260" s="27">
        <v>150</v>
      </c>
      <c r="P1260" s="27">
        <v>220</v>
      </c>
      <c r="Q1260" s="27">
        <v>10</v>
      </c>
      <c r="R1260" s="29" t="s">
        <v>43</v>
      </c>
      <c r="S1260" s="29"/>
      <c r="T1260" s="28">
        <v>1000</v>
      </c>
      <c r="U1260" s="29" t="s">
        <v>52</v>
      </c>
      <c r="V1260" s="29" t="s">
        <v>64</v>
      </c>
      <c r="W1260" s="27">
        <v>10</v>
      </c>
      <c r="X1260" s="37" t="str">
        <f>HYPERLINK("https://www.alpinabook.ru/catalog/book-zakony-prostoty","ссылка на книгу")</f>
        <v>ссылка на книгу</v>
      </c>
      <c r="Y1260" s="38" t="str">
        <f>HYPERLINK("https://api-enni.alpina.ru/FilePrivilegesApproval/2","https://api-enni.alpina.ru/FilePrivilegesApproval/2")</f>
        <v>https://api-enni.alpina.ru/FilePrivilegesApproval/2</v>
      </c>
      <c r="Z1260" s="29" t="s">
        <v>567</v>
      </c>
      <c r="AT1260" s="1">
        <f t="shared" si="218"/>
        <v>0</v>
      </c>
      <c r="AU1260" s="1">
        <f t="shared" si="219"/>
        <v>0</v>
      </c>
      <c r="AV1260" s="1">
        <f t="shared" si="220"/>
        <v>0</v>
      </c>
      <c r="AW1260" s="1">
        <f t="shared" si="221"/>
        <v>0</v>
      </c>
      <c r="AX1260" s="1">
        <f t="shared" si="222"/>
        <v>0</v>
      </c>
    </row>
    <row r="1261" spans="1:50" s="1" customFormat="1" ht="24.95" customHeight="1" outlineLevel="3" x14ac:dyDescent="0.2">
      <c r="A1261" s="11"/>
      <c r="B1261" s="12">
        <v>490</v>
      </c>
      <c r="C1261" s="12">
        <v>740</v>
      </c>
      <c r="D1261" s="12">
        <v>9004</v>
      </c>
      <c r="E1261" s="13" t="s">
        <v>756</v>
      </c>
      <c r="F1261" s="13" t="s">
        <v>4146</v>
      </c>
      <c r="G1261" s="13" t="s">
        <v>56</v>
      </c>
      <c r="H1261" s="13"/>
      <c r="I1261" s="12">
        <v>2025</v>
      </c>
      <c r="J1261" s="13" t="s">
        <v>4147</v>
      </c>
      <c r="K1261" s="12">
        <v>9785961408089</v>
      </c>
      <c r="L1261" s="13" t="s">
        <v>4148</v>
      </c>
      <c r="M1261" s="12">
        <v>187</v>
      </c>
      <c r="N1261" s="14">
        <v>0.33</v>
      </c>
      <c r="O1261" s="12">
        <v>150</v>
      </c>
      <c r="P1261" s="12">
        <v>220</v>
      </c>
      <c r="Q1261" s="12">
        <v>10</v>
      </c>
      <c r="R1261" s="13" t="s">
        <v>43</v>
      </c>
      <c r="S1261" s="13"/>
      <c r="T1261" s="15">
        <v>1000</v>
      </c>
      <c r="U1261" s="13" t="s">
        <v>52</v>
      </c>
      <c r="V1261" s="13" t="s">
        <v>64</v>
      </c>
      <c r="W1261" s="12">
        <v>10</v>
      </c>
      <c r="X1261" s="33" t="str">
        <f>HYPERLINK("https://www.alpinabook.ru/catalog/book-kak-spasti-ili-pogubit-kompaniyu-za-odin-den","ссылка на книгу")</f>
        <v>ссылка на книгу</v>
      </c>
      <c r="Y1261" s="34" t="str">
        <f>HYPERLINK("https://api-enni.alpina.ru/FilePrivilegesApproval/2","https://api-enni.alpina.ru/FilePrivilegesApproval/2")</f>
        <v>https://api-enni.alpina.ru/FilePrivilegesApproval/2</v>
      </c>
      <c r="Z1261" s="13" t="s">
        <v>77</v>
      </c>
      <c r="AT1261" s="1">
        <f t="shared" si="218"/>
        <v>0</v>
      </c>
      <c r="AU1261" s="1">
        <f t="shared" si="219"/>
        <v>0</v>
      </c>
      <c r="AV1261" s="1">
        <f t="shared" si="220"/>
        <v>0</v>
      </c>
      <c r="AW1261" s="1">
        <f t="shared" si="221"/>
        <v>0</v>
      </c>
      <c r="AX1261" s="1">
        <f t="shared" si="222"/>
        <v>0</v>
      </c>
    </row>
    <row r="1262" spans="1:50" s="1" customFormat="1" ht="24.95" customHeight="1" outlineLevel="3" x14ac:dyDescent="0.2">
      <c r="A1262" s="11"/>
      <c r="B1262" s="12">
        <v>690</v>
      </c>
      <c r="C1262" s="12">
        <v>690</v>
      </c>
      <c r="D1262" s="12">
        <v>24514</v>
      </c>
      <c r="E1262" s="13" t="s">
        <v>4149</v>
      </c>
      <c r="F1262" s="13" t="s">
        <v>4150</v>
      </c>
      <c r="G1262" s="13" t="s">
        <v>97</v>
      </c>
      <c r="H1262" s="13"/>
      <c r="I1262" s="12">
        <v>2022</v>
      </c>
      <c r="J1262" s="13" t="s">
        <v>4151</v>
      </c>
      <c r="K1262" s="12">
        <v>9785907470842</v>
      </c>
      <c r="L1262" s="13" t="s">
        <v>4152</v>
      </c>
      <c r="M1262" s="12">
        <v>128</v>
      </c>
      <c r="N1262" s="14">
        <v>0.27</v>
      </c>
      <c r="O1262" s="12">
        <v>146</v>
      </c>
      <c r="P1262" s="12">
        <v>216</v>
      </c>
      <c r="Q1262" s="12">
        <v>16</v>
      </c>
      <c r="R1262" s="13" t="s">
        <v>43</v>
      </c>
      <c r="S1262" s="13"/>
      <c r="T1262" s="15">
        <v>1500</v>
      </c>
      <c r="U1262" s="13" t="s">
        <v>52</v>
      </c>
      <c r="V1262" s="13" t="s">
        <v>59</v>
      </c>
      <c r="W1262" s="12">
        <v>10</v>
      </c>
      <c r="X1262" s="33" t="str">
        <f>HYPERLINK("https://www.alpinabook.ru/catalog/book-karera-bez-granits","ссылка на книгу")</f>
        <v>ссылка на книгу</v>
      </c>
      <c r="Y1262" s="34" t="str">
        <f>HYPERLINK("https://api-enni.alpina.ru/FilePrivilegesApproval/129","https://api-enni.alpina.ru/FilePrivilegesApproval/129")</f>
        <v>https://api-enni.alpina.ru/FilePrivilegesApproval/129</v>
      </c>
      <c r="Z1262" s="13"/>
      <c r="AT1262" s="1">
        <f t="shared" si="218"/>
        <v>0</v>
      </c>
      <c r="AU1262" s="1">
        <f t="shared" si="219"/>
        <v>0</v>
      </c>
      <c r="AV1262" s="1">
        <f t="shared" si="220"/>
        <v>0</v>
      </c>
      <c r="AW1262" s="1">
        <f t="shared" si="221"/>
        <v>0</v>
      </c>
      <c r="AX1262" s="1">
        <f t="shared" si="222"/>
        <v>0</v>
      </c>
    </row>
    <row r="1263" spans="1:50" s="1" customFormat="1" ht="24.95" customHeight="1" outlineLevel="3" x14ac:dyDescent="0.2">
      <c r="A1263" s="11"/>
      <c r="B1263" s="12">
        <v>840</v>
      </c>
      <c r="C1263" s="15">
        <v>1290</v>
      </c>
      <c r="D1263" s="12">
        <v>29082</v>
      </c>
      <c r="E1263" s="13" t="s">
        <v>4153</v>
      </c>
      <c r="F1263" s="13" t="s">
        <v>4154</v>
      </c>
      <c r="G1263" s="13" t="s">
        <v>56</v>
      </c>
      <c r="H1263" s="13"/>
      <c r="I1263" s="12">
        <v>2025</v>
      </c>
      <c r="J1263" s="13" t="s">
        <v>4155</v>
      </c>
      <c r="K1263" s="12">
        <v>9785961491357</v>
      </c>
      <c r="L1263" s="13" t="s">
        <v>4156</v>
      </c>
      <c r="M1263" s="12">
        <v>393</v>
      </c>
      <c r="N1263" s="14">
        <v>0.57999999999999996</v>
      </c>
      <c r="O1263" s="12">
        <v>150</v>
      </c>
      <c r="P1263" s="12">
        <v>220</v>
      </c>
      <c r="Q1263" s="12">
        <v>5</v>
      </c>
      <c r="R1263" s="13" t="s">
        <v>43</v>
      </c>
      <c r="S1263" s="13"/>
      <c r="T1263" s="15">
        <v>1000</v>
      </c>
      <c r="U1263" s="13" t="s">
        <v>52</v>
      </c>
      <c r="V1263" s="13" t="s">
        <v>59</v>
      </c>
      <c r="W1263" s="12">
        <v>10</v>
      </c>
      <c r="X1263" s="33" t="str">
        <f>HYPERLINK("https://www.alpinabook.ru/catalog/book-navigator-vnedreniya-okr","ссылка на книгу")</f>
        <v>ссылка на книгу</v>
      </c>
      <c r="Y1263" s="34" t="str">
        <f>HYPERLINK("https://api-enni.alpina.ru/FilePrivilegesApproval/405","https://api-enni.alpina.ru/FilePrivilegesApproval/405")</f>
        <v>https://api-enni.alpina.ru/FilePrivilegesApproval/405</v>
      </c>
      <c r="Z1263" s="13" t="s">
        <v>77</v>
      </c>
      <c r="AT1263" s="1">
        <f t="shared" si="218"/>
        <v>0</v>
      </c>
      <c r="AU1263" s="1">
        <f t="shared" si="219"/>
        <v>0</v>
      </c>
      <c r="AV1263" s="1">
        <f t="shared" si="220"/>
        <v>0</v>
      </c>
      <c r="AW1263" s="1">
        <f t="shared" si="221"/>
        <v>0</v>
      </c>
      <c r="AX1263" s="1">
        <f t="shared" si="222"/>
        <v>0</v>
      </c>
    </row>
    <row r="1264" spans="1:50" s="1" customFormat="1" ht="24.95" customHeight="1" outlineLevel="3" x14ac:dyDescent="0.2">
      <c r="A1264" s="11"/>
      <c r="B1264" s="12">
        <v>590</v>
      </c>
      <c r="C1264" s="12">
        <v>840</v>
      </c>
      <c r="D1264" s="12">
        <v>31389</v>
      </c>
      <c r="E1264" s="13" t="s">
        <v>4157</v>
      </c>
      <c r="F1264" s="13" t="s">
        <v>4158</v>
      </c>
      <c r="G1264" s="13" t="s">
        <v>97</v>
      </c>
      <c r="H1264" s="13"/>
      <c r="I1264" s="12">
        <v>2024</v>
      </c>
      <c r="J1264" s="13" t="s">
        <v>4159</v>
      </c>
      <c r="K1264" s="12">
        <v>9785206003680</v>
      </c>
      <c r="L1264" s="13" t="s">
        <v>4160</v>
      </c>
      <c r="M1264" s="12">
        <v>256</v>
      </c>
      <c r="N1264" s="14">
        <v>0.49</v>
      </c>
      <c r="O1264" s="12">
        <v>150</v>
      </c>
      <c r="P1264" s="12">
        <v>220</v>
      </c>
      <c r="Q1264" s="12">
        <v>5</v>
      </c>
      <c r="R1264" s="13" t="s">
        <v>43</v>
      </c>
      <c r="S1264" s="13"/>
      <c r="T1264" s="15">
        <v>1505</v>
      </c>
      <c r="U1264" s="13" t="s">
        <v>52</v>
      </c>
      <c r="V1264" s="13" t="s">
        <v>59</v>
      </c>
      <c r="W1264" s="12">
        <v>10</v>
      </c>
      <c r="X1264" s="33" t="str">
        <f>HYPERLINK("https://www.alpinabook.ru/catalog/book-nastolnaya-kniga-peremen","ссылка на книгу")</f>
        <v>ссылка на книгу</v>
      </c>
      <c r="Y1264" s="34" t="str">
        <f>HYPERLINK("https://api-enni.alpina.ru/FilePrivilegesApproval/708","https://api-enni.alpina.ru/FilePrivilegesApproval/708")</f>
        <v>https://api-enni.alpina.ru/FilePrivilegesApproval/708</v>
      </c>
      <c r="Z1264" s="13"/>
      <c r="AT1264" s="1">
        <f t="shared" si="218"/>
        <v>0</v>
      </c>
      <c r="AU1264" s="1">
        <f t="shared" si="219"/>
        <v>0</v>
      </c>
      <c r="AV1264" s="1">
        <f t="shared" si="220"/>
        <v>0</v>
      </c>
      <c r="AW1264" s="1">
        <f t="shared" si="221"/>
        <v>0</v>
      </c>
      <c r="AX1264" s="1">
        <f t="shared" si="222"/>
        <v>0</v>
      </c>
    </row>
    <row r="1265" spans="1:50" s="1" customFormat="1" ht="24.95" customHeight="1" outlineLevel="3" x14ac:dyDescent="0.2">
      <c r="A1265" s="11"/>
      <c r="B1265" s="12">
        <v>530</v>
      </c>
      <c r="C1265" s="12">
        <v>790</v>
      </c>
      <c r="D1265" s="12">
        <v>4289</v>
      </c>
      <c r="E1265" s="13" t="s">
        <v>622</v>
      </c>
      <c r="F1265" s="13" t="s">
        <v>623</v>
      </c>
      <c r="G1265" s="13" t="s">
        <v>56</v>
      </c>
      <c r="H1265" s="13" t="s">
        <v>40</v>
      </c>
      <c r="I1265" s="12">
        <v>2025</v>
      </c>
      <c r="J1265" s="13" t="s">
        <v>624</v>
      </c>
      <c r="K1265" s="12">
        <v>9785961447866</v>
      </c>
      <c r="L1265" s="13" t="s">
        <v>625</v>
      </c>
      <c r="M1265" s="12">
        <v>192</v>
      </c>
      <c r="N1265" s="14">
        <v>0.34</v>
      </c>
      <c r="O1265" s="12">
        <v>150</v>
      </c>
      <c r="P1265" s="12">
        <v>220</v>
      </c>
      <c r="Q1265" s="12">
        <v>10</v>
      </c>
      <c r="R1265" s="13" t="s">
        <v>43</v>
      </c>
      <c r="S1265" s="13"/>
      <c r="T1265" s="15">
        <v>1000</v>
      </c>
      <c r="U1265" s="13" t="s">
        <v>52</v>
      </c>
      <c r="V1265" s="13" t="s">
        <v>64</v>
      </c>
      <c r="W1265" s="12">
        <v>10</v>
      </c>
      <c r="X1265" s="33" t="str">
        <f>HYPERLINK("https://www.alpinabook.ru/catalog/book-operezhayushchee-myshlenie","ссылка на книгу")</f>
        <v>ссылка на книгу</v>
      </c>
      <c r="Y1265" s="34" t="str">
        <f>HYPERLINK("https://api-enni.alpina.ru/FilePrivilegesApproval/156","https://api-enni.alpina.ru/FilePrivilegesApproval/156")</f>
        <v>https://api-enni.alpina.ru/FilePrivilegesApproval/156</v>
      </c>
      <c r="Z1265" s="13" t="s">
        <v>65</v>
      </c>
      <c r="AT1265" s="1">
        <f t="shared" si="218"/>
        <v>0</v>
      </c>
      <c r="AU1265" s="1">
        <f t="shared" si="219"/>
        <v>0</v>
      </c>
      <c r="AV1265" s="1">
        <f t="shared" si="220"/>
        <v>0</v>
      </c>
      <c r="AW1265" s="1">
        <f t="shared" si="221"/>
        <v>0</v>
      </c>
      <c r="AX1265" s="1">
        <f t="shared" si="222"/>
        <v>0</v>
      </c>
    </row>
    <row r="1266" spans="1:50" s="1" customFormat="1" ht="24.95" customHeight="1" outlineLevel="3" x14ac:dyDescent="0.2">
      <c r="A1266" s="11"/>
      <c r="B1266" s="12">
        <v>890</v>
      </c>
      <c r="C1266" s="15">
        <v>1290</v>
      </c>
      <c r="D1266" s="12">
        <v>7932</v>
      </c>
      <c r="E1266" s="13" t="s">
        <v>4161</v>
      </c>
      <c r="F1266" s="13" t="s">
        <v>4162</v>
      </c>
      <c r="G1266" s="13" t="s">
        <v>97</v>
      </c>
      <c r="H1266" s="13" t="s">
        <v>40</v>
      </c>
      <c r="I1266" s="12">
        <v>2025</v>
      </c>
      <c r="J1266" s="13" t="s">
        <v>4163</v>
      </c>
      <c r="K1266" s="12">
        <v>9785961465037</v>
      </c>
      <c r="L1266" s="13" t="s">
        <v>4164</v>
      </c>
      <c r="M1266" s="12">
        <v>290</v>
      </c>
      <c r="N1266" s="14">
        <v>0.51</v>
      </c>
      <c r="O1266" s="12">
        <v>171</v>
      </c>
      <c r="P1266" s="12">
        <v>241</v>
      </c>
      <c r="Q1266" s="12">
        <v>6</v>
      </c>
      <c r="R1266" s="13" t="s">
        <v>94</v>
      </c>
      <c r="S1266" s="13"/>
      <c r="T1266" s="15">
        <v>1000</v>
      </c>
      <c r="U1266" s="13" t="s">
        <v>52</v>
      </c>
      <c r="V1266" s="13" t="s">
        <v>64</v>
      </c>
      <c r="W1266" s="12">
        <v>10</v>
      </c>
      <c r="X1266" s="33" t="str">
        <f>HYPERLINK("https://www.alpinabook.ru/catalog/book-printsip-oz","ссылка на книгу")</f>
        <v>ссылка на книгу</v>
      </c>
      <c r="Y1266" s="34" t="str">
        <f>HYPERLINK("https://api-enni.alpina.ru/FilePrivilegesApproval/325","https://api-enni.alpina.ru/FilePrivilegesApproval/325")</f>
        <v>https://api-enni.alpina.ru/FilePrivilegesApproval/325</v>
      </c>
      <c r="Z1266" s="13"/>
      <c r="AT1266" s="1">
        <f t="shared" si="218"/>
        <v>0</v>
      </c>
      <c r="AU1266" s="1">
        <f t="shared" si="219"/>
        <v>0</v>
      </c>
      <c r="AV1266" s="1">
        <f t="shared" si="220"/>
        <v>0</v>
      </c>
      <c r="AW1266" s="1">
        <f t="shared" si="221"/>
        <v>0</v>
      </c>
      <c r="AX1266" s="1">
        <f t="shared" si="222"/>
        <v>0</v>
      </c>
    </row>
    <row r="1267" spans="1:50" s="1" customFormat="1" ht="24.95" customHeight="1" outlineLevel="3" x14ac:dyDescent="0.2">
      <c r="A1267" s="26"/>
      <c r="B1267" s="27">
        <v>890</v>
      </c>
      <c r="C1267" s="27">
        <v>890</v>
      </c>
      <c r="D1267" s="27">
        <v>18161</v>
      </c>
      <c r="E1267" s="29" t="s">
        <v>4165</v>
      </c>
      <c r="F1267" s="29" t="s">
        <v>4166</v>
      </c>
      <c r="G1267" s="29" t="s">
        <v>56</v>
      </c>
      <c r="H1267" s="29" t="s">
        <v>40</v>
      </c>
      <c r="I1267" s="27">
        <v>2024</v>
      </c>
      <c r="J1267" s="29" t="s">
        <v>4167</v>
      </c>
      <c r="K1267" s="27">
        <v>9785961468397</v>
      </c>
      <c r="L1267" s="29" t="s">
        <v>4168</v>
      </c>
      <c r="M1267" s="27">
        <v>371</v>
      </c>
      <c r="N1267" s="30">
        <v>0.87</v>
      </c>
      <c r="O1267" s="27">
        <v>170</v>
      </c>
      <c r="P1267" s="27">
        <v>240</v>
      </c>
      <c r="Q1267" s="27">
        <v>5</v>
      </c>
      <c r="R1267" s="29" t="s">
        <v>94</v>
      </c>
      <c r="S1267" s="29"/>
      <c r="T1267" s="28">
        <v>1000</v>
      </c>
      <c r="U1267" s="29" t="s">
        <v>52</v>
      </c>
      <c r="V1267" s="29" t="s">
        <v>64</v>
      </c>
      <c r="W1267" s="27">
        <v>10</v>
      </c>
      <c r="X1267" s="37" t="str">
        <f>HYPERLINK("https://www.alpinabook.ru/catalog/book-realnaya-strategiya","ссылка на книгу")</f>
        <v>ссылка на книгу</v>
      </c>
      <c r="Y1267" s="38" t="str">
        <f>HYPERLINK("https://api-enni.alpina.ru/FilePrivilegesApproval/111","https://api-enni.alpina.ru/FilePrivilegesApproval/111")</f>
        <v>https://api-enni.alpina.ru/FilePrivilegesApproval/111</v>
      </c>
      <c r="Z1267" s="29"/>
      <c r="AT1267" s="1">
        <f t="shared" si="218"/>
        <v>0</v>
      </c>
      <c r="AU1267" s="1">
        <f t="shared" si="219"/>
        <v>0</v>
      </c>
      <c r="AV1267" s="1">
        <f t="shared" si="220"/>
        <v>0</v>
      </c>
      <c r="AW1267" s="1">
        <f t="shared" si="221"/>
        <v>0</v>
      </c>
      <c r="AX1267" s="1">
        <f t="shared" si="222"/>
        <v>0</v>
      </c>
    </row>
    <row r="1268" spans="1:50" s="1" customFormat="1" ht="24.95" customHeight="1" outlineLevel="3" x14ac:dyDescent="0.2">
      <c r="A1268" s="11"/>
      <c r="B1268" s="15">
        <v>1200</v>
      </c>
      <c r="C1268" s="15">
        <v>1690</v>
      </c>
      <c r="D1268" s="12">
        <v>26559</v>
      </c>
      <c r="E1268" s="13" t="s">
        <v>4169</v>
      </c>
      <c r="F1268" s="13" t="s">
        <v>4170</v>
      </c>
      <c r="G1268" s="13" t="s">
        <v>97</v>
      </c>
      <c r="H1268" s="13"/>
      <c r="I1268" s="12">
        <v>2023</v>
      </c>
      <c r="J1268" s="13" t="s">
        <v>4171</v>
      </c>
      <c r="K1268" s="12">
        <v>9785206000863</v>
      </c>
      <c r="L1268" s="13" t="s">
        <v>4172</v>
      </c>
      <c r="M1268" s="12">
        <v>616</v>
      </c>
      <c r="N1268" s="14">
        <v>1.0900000000000001</v>
      </c>
      <c r="O1268" s="12">
        <v>170</v>
      </c>
      <c r="P1268" s="12">
        <v>240</v>
      </c>
      <c r="Q1268" s="12">
        <v>4</v>
      </c>
      <c r="R1268" s="13" t="s">
        <v>94</v>
      </c>
      <c r="S1268" s="13"/>
      <c r="T1268" s="15">
        <v>1505</v>
      </c>
      <c r="U1268" s="13" t="s">
        <v>52</v>
      </c>
      <c r="V1268" s="13" t="s">
        <v>59</v>
      </c>
      <c r="W1268" s="12">
        <v>10</v>
      </c>
      <c r="X1268" s="33" t="str">
        <f>HYPERLINK("https://www.alpinabook.ru/catalog/book-sleduyushchiy-uroven","ссылка на книгу")</f>
        <v>ссылка на книгу</v>
      </c>
      <c r="Y1268" s="34" t="str">
        <f>HYPERLINK("https://api-enni.alpina.ru/FilePrivilegesApproval/168","https://api-enni.alpina.ru/FilePrivilegesApproval/168")</f>
        <v>https://api-enni.alpina.ru/FilePrivilegesApproval/168</v>
      </c>
      <c r="Z1268" s="13"/>
      <c r="AT1268" s="1">
        <f t="shared" si="218"/>
        <v>0</v>
      </c>
      <c r="AU1268" s="1">
        <f t="shared" si="219"/>
        <v>0</v>
      </c>
      <c r="AV1268" s="1">
        <f t="shared" si="220"/>
        <v>0</v>
      </c>
      <c r="AW1268" s="1">
        <f t="shared" si="221"/>
        <v>0</v>
      </c>
      <c r="AX1268" s="1">
        <f t="shared" si="222"/>
        <v>0</v>
      </c>
    </row>
    <row r="1269" spans="1:50" s="1" customFormat="1" ht="21.95" customHeight="1" outlineLevel="3" x14ac:dyDescent="0.2">
      <c r="A1269" s="11"/>
      <c r="B1269" s="15">
        <v>1190</v>
      </c>
      <c r="C1269" s="15">
        <v>1690</v>
      </c>
      <c r="D1269" s="12">
        <v>33286</v>
      </c>
      <c r="E1269" s="13" t="s">
        <v>211</v>
      </c>
      <c r="F1269" s="13" t="s">
        <v>212</v>
      </c>
      <c r="G1269" s="13" t="s">
        <v>97</v>
      </c>
      <c r="H1269" s="13"/>
      <c r="I1269" s="12">
        <v>2025</v>
      </c>
      <c r="J1269" s="13" t="s">
        <v>213</v>
      </c>
      <c r="K1269" s="12">
        <v>9785206004632</v>
      </c>
      <c r="L1269" s="13" t="s">
        <v>214</v>
      </c>
      <c r="M1269" s="12">
        <v>320</v>
      </c>
      <c r="N1269" s="14">
        <v>0.59</v>
      </c>
      <c r="O1269" s="12">
        <v>150</v>
      </c>
      <c r="P1269" s="12">
        <v>220</v>
      </c>
      <c r="Q1269" s="12">
        <v>5</v>
      </c>
      <c r="R1269" s="13" t="s">
        <v>43</v>
      </c>
      <c r="S1269" s="13"/>
      <c r="T1269" s="15">
        <v>5005</v>
      </c>
      <c r="U1269" s="13" t="s">
        <v>52</v>
      </c>
      <c r="V1269" s="13" t="s">
        <v>45</v>
      </c>
      <c r="W1269" s="12">
        <v>10</v>
      </c>
      <c r="X1269" s="33" t="str">
        <f>HYPERLINK("https://www.alpinabook.ru/catalog/book-sotsialnyy-kapital","ссылка на книгу")</f>
        <v>ссылка на книгу</v>
      </c>
      <c r="Y1269" s="34" t="str">
        <f>HYPERLINK("","")</f>
        <v/>
      </c>
      <c r="Z1269" s="13" t="s">
        <v>65</v>
      </c>
      <c r="AT1269" s="1">
        <f t="shared" si="218"/>
        <v>0</v>
      </c>
      <c r="AU1269" s="1">
        <f t="shared" si="219"/>
        <v>0</v>
      </c>
      <c r="AV1269" s="1">
        <f t="shared" si="220"/>
        <v>0</v>
      </c>
      <c r="AW1269" s="1">
        <f t="shared" si="221"/>
        <v>0</v>
      </c>
      <c r="AX1269" s="1">
        <f t="shared" si="222"/>
        <v>0</v>
      </c>
    </row>
    <row r="1270" spans="1:50" s="1" customFormat="1" ht="24.95" customHeight="1" outlineLevel="3" x14ac:dyDescent="0.2">
      <c r="A1270" s="11"/>
      <c r="B1270" s="15">
        <v>1220</v>
      </c>
      <c r="C1270" s="15">
        <v>1690</v>
      </c>
      <c r="D1270" s="12">
        <v>8798</v>
      </c>
      <c r="E1270" s="13" t="s">
        <v>4173</v>
      </c>
      <c r="F1270" s="13" t="s">
        <v>4174</v>
      </c>
      <c r="G1270" s="13" t="s">
        <v>56</v>
      </c>
      <c r="H1270" s="13" t="s">
        <v>40</v>
      </c>
      <c r="I1270" s="12">
        <v>2024</v>
      </c>
      <c r="J1270" s="13" t="s">
        <v>4175</v>
      </c>
      <c r="K1270" s="12">
        <v>9785961419146</v>
      </c>
      <c r="L1270" s="13" t="s">
        <v>4176</v>
      </c>
      <c r="M1270" s="12">
        <v>382</v>
      </c>
      <c r="N1270" s="14">
        <v>0.72</v>
      </c>
      <c r="O1270" s="12">
        <v>170</v>
      </c>
      <c r="P1270" s="12">
        <v>240</v>
      </c>
      <c r="Q1270" s="12">
        <v>6</v>
      </c>
      <c r="R1270" s="13" t="s">
        <v>94</v>
      </c>
      <c r="S1270" s="13"/>
      <c r="T1270" s="15">
        <v>1500</v>
      </c>
      <c r="U1270" s="13" t="s">
        <v>52</v>
      </c>
      <c r="V1270" s="13" t="s">
        <v>64</v>
      </c>
      <c r="W1270" s="12">
        <v>10</v>
      </c>
      <c r="X1270" s="33" t="str">
        <f>HYPERLINK("https://www.alpinabook.ru/catalog/book-spiralnaya-dinamika-na-praktike","ссылка на книгу")</f>
        <v>ссылка на книгу</v>
      </c>
      <c r="Y1270" s="34" t="str">
        <f>HYPERLINK("https://api-enni.alpina.ru/FilePrivilegesApproval/140","https://api-enni.alpina.ru/FilePrivilegesApproval/140")</f>
        <v>https://api-enni.alpina.ru/FilePrivilegesApproval/140</v>
      </c>
      <c r="Z1270" s="13"/>
      <c r="AT1270" s="1">
        <f t="shared" si="218"/>
        <v>0</v>
      </c>
      <c r="AU1270" s="1">
        <f t="shared" si="219"/>
        <v>0</v>
      </c>
      <c r="AV1270" s="1">
        <f t="shared" si="220"/>
        <v>0</v>
      </c>
      <c r="AW1270" s="1">
        <f t="shared" si="221"/>
        <v>0</v>
      </c>
      <c r="AX1270" s="1">
        <f t="shared" si="222"/>
        <v>0</v>
      </c>
    </row>
    <row r="1271" spans="1:50" s="1" customFormat="1" ht="24.95" customHeight="1" outlineLevel="3" x14ac:dyDescent="0.2">
      <c r="A1271" s="11"/>
      <c r="B1271" s="12">
        <v>790</v>
      </c>
      <c r="C1271" s="15">
        <v>1190</v>
      </c>
      <c r="D1271" s="12">
        <v>25093</v>
      </c>
      <c r="E1271" s="13" t="s">
        <v>4177</v>
      </c>
      <c r="F1271" s="13" t="s">
        <v>4178</v>
      </c>
      <c r="G1271" s="13" t="s">
        <v>56</v>
      </c>
      <c r="H1271" s="13" t="s">
        <v>40</v>
      </c>
      <c r="I1271" s="12">
        <v>2024</v>
      </c>
      <c r="J1271" s="13" t="s">
        <v>4179</v>
      </c>
      <c r="K1271" s="12">
        <v>9785961476835</v>
      </c>
      <c r="L1271" s="13" t="s">
        <v>4180</v>
      </c>
      <c r="M1271" s="12">
        <v>134</v>
      </c>
      <c r="N1271" s="14">
        <v>0.34</v>
      </c>
      <c r="O1271" s="12">
        <v>180</v>
      </c>
      <c r="P1271" s="12">
        <v>250</v>
      </c>
      <c r="Q1271" s="12">
        <v>10</v>
      </c>
      <c r="R1271" s="13" t="s">
        <v>94</v>
      </c>
      <c r="S1271" s="13"/>
      <c r="T1271" s="15">
        <v>1000</v>
      </c>
      <c r="U1271" s="13" t="s">
        <v>52</v>
      </c>
      <c r="V1271" s="13" t="s">
        <v>64</v>
      </c>
      <c r="W1271" s="12">
        <v>10</v>
      </c>
      <c r="X1271" s="33" t="str">
        <f>HYPERLINK("https://www.alpinabook.ru/catalog/book-strategicheskiy-menedzhment-po-kotleru","ссылка на книгу")</f>
        <v>ссылка на книгу</v>
      </c>
      <c r="Y1271" s="34" t="str">
        <f>HYPERLINK("https://api-enni.alpina.ru/FilePrivilegesApproval/156","https://api-enni.alpina.ru/FilePrivilegesApproval/156")</f>
        <v>https://api-enni.alpina.ru/FilePrivilegesApproval/156</v>
      </c>
      <c r="Z1271" s="13"/>
      <c r="AT1271" s="1">
        <f t="shared" si="218"/>
        <v>0</v>
      </c>
      <c r="AU1271" s="1">
        <f t="shared" si="219"/>
        <v>0</v>
      </c>
      <c r="AV1271" s="1">
        <f t="shared" si="220"/>
        <v>0</v>
      </c>
      <c r="AW1271" s="1">
        <f t="shared" si="221"/>
        <v>0</v>
      </c>
      <c r="AX1271" s="1">
        <f t="shared" si="222"/>
        <v>0</v>
      </c>
    </row>
    <row r="1272" spans="1:50" s="1" customFormat="1" ht="24.95" customHeight="1" outlineLevel="3" x14ac:dyDescent="0.2">
      <c r="A1272" s="11"/>
      <c r="B1272" s="12">
        <v>790</v>
      </c>
      <c r="C1272" s="12">
        <v>790</v>
      </c>
      <c r="D1272" s="12">
        <v>23807</v>
      </c>
      <c r="E1272" s="13" t="s">
        <v>4181</v>
      </c>
      <c r="F1272" s="13" t="s">
        <v>4182</v>
      </c>
      <c r="G1272" s="13" t="s">
        <v>97</v>
      </c>
      <c r="H1272" s="13"/>
      <c r="I1272" s="12">
        <v>2021</v>
      </c>
      <c r="J1272" s="13" t="s">
        <v>4183</v>
      </c>
      <c r="K1272" s="12">
        <v>9785907470224</v>
      </c>
      <c r="L1272" s="13" t="s">
        <v>4184</v>
      </c>
      <c r="M1272" s="12">
        <v>184</v>
      </c>
      <c r="N1272" s="14">
        <v>0.33</v>
      </c>
      <c r="O1272" s="12">
        <v>146</v>
      </c>
      <c r="P1272" s="12">
        <v>216</v>
      </c>
      <c r="Q1272" s="12">
        <v>14</v>
      </c>
      <c r="R1272" s="13" t="s">
        <v>43</v>
      </c>
      <c r="S1272" s="13"/>
      <c r="T1272" s="15">
        <v>2000</v>
      </c>
      <c r="U1272" s="13" t="s">
        <v>52</v>
      </c>
      <c r="V1272" s="13" t="s">
        <v>59</v>
      </c>
      <c r="W1272" s="12">
        <v>10</v>
      </c>
      <c r="X1272" s="33" t="str">
        <f>HYPERLINK("https://www.alpinabook.ru/catalog/book-strategiya-poputnogo-vetra","ссылка на книгу")</f>
        <v>ссылка на книгу</v>
      </c>
      <c r="Y1272" s="34" t="str">
        <f>HYPERLINK("https://api-enni.alpina.ru/FilePrivilegesApproval/154","https://api-enni.alpina.ru/FilePrivilegesApproval/154")</f>
        <v>https://api-enni.alpina.ru/FilePrivilegesApproval/154</v>
      </c>
      <c r="Z1272" s="13"/>
      <c r="AT1272" s="1">
        <f t="shared" si="218"/>
        <v>0</v>
      </c>
      <c r="AU1272" s="1">
        <f t="shared" si="219"/>
        <v>0</v>
      </c>
      <c r="AV1272" s="1">
        <f t="shared" si="220"/>
        <v>0</v>
      </c>
      <c r="AW1272" s="1">
        <f t="shared" si="221"/>
        <v>0</v>
      </c>
      <c r="AX1272" s="1">
        <f t="shared" si="222"/>
        <v>0</v>
      </c>
    </row>
    <row r="1273" spans="1:50" s="1" customFormat="1" ht="24.95" customHeight="1" outlineLevel="3" x14ac:dyDescent="0.2">
      <c r="A1273" s="11"/>
      <c r="B1273" s="12">
        <v>690</v>
      </c>
      <c r="C1273" s="12">
        <v>990</v>
      </c>
      <c r="D1273" s="12">
        <v>4726</v>
      </c>
      <c r="E1273" s="13" t="s">
        <v>756</v>
      </c>
      <c r="F1273" s="13" t="s">
        <v>757</v>
      </c>
      <c r="G1273" s="13" t="s">
        <v>56</v>
      </c>
      <c r="H1273" s="13"/>
      <c r="I1273" s="12">
        <v>2025</v>
      </c>
      <c r="J1273" s="13" t="s">
        <v>758</v>
      </c>
      <c r="K1273" s="12">
        <v>9785961436570</v>
      </c>
      <c r="L1273" s="13" t="s">
        <v>759</v>
      </c>
      <c r="M1273" s="12">
        <v>340</v>
      </c>
      <c r="N1273" s="14">
        <v>0.52</v>
      </c>
      <c r="O1273" s="12">
        <v>153</v>
      </c>
      <c r="P1273" s="12">
        <v>216</v>
      </c>
      <c r="Q1273" s="12">
        <v>5</v>
      </c>
      <c r="R1273" s="13" t="s">
        <v>43</v>
      </c>
      <c r="S1273" s="13"/>
      <c r="T1273" s="15">
        <v>1000</v>
      </c>
      <c r="U1273" s="13" t="s">
        <v>52</v>
      </c>
      <c r="V1273" s="13" t="s">
        <v>64</v>
      </c>
      <c r="W1273" s="12">
        <v>10</v>
      </c>
      <c r="X1273" s="33" t="str">
        <f>HYPERLINK("https://www.alpinabook.ru/catalog/book-strategiya-chistogo-lista","ссылка на книгу")</f>
        <v>ссылка на книгу</v>
      </c>
      <c r="Y1273" s="34" t="str">
        <f>HYPERLINK("https://api-enni.alpina.ru/FilePrivilegesApproval/2","https://api-enni.alpina.ru/FilePrivilegesApproval/2")</f>
        <v>https://api-enni.alpina.ru/FilePrivilegesApproval/2</v>
      </c>
      <c r="Z1273" s="13" t="s">
        <v>118</v>
      </c>
      <c r="AT1273" s="1">
        <f t="shared" si="218"/>
        <v>0</v>
      </c>
      <c r="AU1273" s="1">
        <f t="shared" si="219"/>
        <v>0</v>
      </c>
      <c r="AV1273" s="1">
        <f t="shared" si="220"/>
        <v>0</v>
      </c>
      <c r="AW1273" s="1">
        <f t="shared" si="221"/>
        <v>0</v>
      </c>
      <c r="AX1273" s="1">
        <f t="shared" si="222"/>
        <v>0</v>
      </c>
    </row>
    <row r="1274" spans="1:50" s="1" customFormat="1" ht="24.95" customHeight="1" outlineLevel="3" x14ac:dyDescent="0.2">
      <c r="A1274" s="11"/>
      <c r="B1274" s="12">
        <v>840</v>
      </c>
      <c r="C1274" s="15">
        <v>1290</v>
      </c>
      <c r="D1274" s="12">
        <v>28764</v>
      </c>
      <c r="E1274" s="13" t="s">
        <v>4185</v>
      </c>
      <c r="F1274" s="13" t="s">
        <v>4186</v>
      </c>
      <c r="G1274" s="13" t="s">
        <v>97</v>
      </c>
      <c r="H1274" s="13"/>
      <c r="I1274" s="12">
        <v>2024</v>
      </c>
      <c r="J1274" s="13" t="s">
        <v>4187</v>
      </c>
      <c r="K1274" s="12">
        <v>9785206002331</v>
      </c>
      <c r="L1274" s="13" t="s">
        <v>4188</v>
      </c>
      <c r="M1274" s="12">
        <v>503</v>
      </c>
      <c r="N1274" s="14">
        <v>0.9</v>
      </c>
      <c r="O1274" s="12">
        <v>170</v>
      </c>
      <c r="P1274" s="12">
        <v>240</v>
      </c>
      <c r="Q1274" s="12">
        <v>4</v>
      </c>
      <c r="R1274" s="13" t="s">
        <v>94</v>
      </c>
      <c r="S1274" s="13"/>
      <c r="T1274" s="15">
        <v>3005</v>
      </c>
      <c r="U1274" s="13" t="s">
        <v>52</v>
      </c>
      <c r="V1274" s="13" t="s">
        <v>59</v>
      </c>
      <c r="W1274" s="12">
        <v>10</v>
      </c>
      <c r="X1274" s="33" t="str">
        <f>HYPERLINK("https://www.alpinabook.ru/catalog/book-tekhnologiya-razvitiya-proizvodstvennoy-sistemy","ссылка на книгу")</f>
        <v>ссылка на книгу</v>
      </c>
      <c r="Y1274" s="34" t="str">
        <f>HYPERLINK("https://api-enni.alpina.ru/FilePrivilegesApproval/409","https://api-enni.alpina.ru/FilePrivilegesApproval/409")</f>
        <v>https://api-enni.alpina.ru/FilePrivilegesApproval/409</v>
      </c>
      <c r="Z1274" s="13"/>
      <c r="AT1274" s="1">
        <f t="shared" si="218"/>
        <v>0</v>
      </c>
      <c r="AU1274" s="1">
        <f t="shared" si="219"/>
        <v>0</v>
      </c>
      <c r="AV1274" s="1">
        <f t="shared" si="220"/>
        <v>0</v>
      </c>
      <c r="AW1274" s="1">
        <f t="shared" si="221"/>
        <v>0</v>
      </c>
      <c r="AX1274" s="1">
        <f t="shared" si="222"/>
        <v>0</v>
      </c>
    </row>
    <row r="1275" spans="1:50" s="1" customFormat="1" ht="24.95" customHeight="1" outlineLevel="3" x14ac:dyDescent="0.2">
      <c r="A1275" s="11"/>
      <c r="B1275" s="12">
        <v>690</v>
      </c>
      <c r="C1275" s="12">
        <v>990</v>
      </c>
      <c r="D1275" s="12">
        <v>26694</v>
      </c>
      <c r="E1275" s="13" t="s">
        <v>4189</v>
      </c>
      <c r="F1275" s="13" t="s">
        <v>4190</v>
      </c>
      <c r="G1275" s="13" t="s">
        <v>97</v>
      </c>
      <c r="H1275" s="13" t="s">
        <v>40</v>
      </c>
      <c r="I1275" s="12">
        <v>2024</v>
      </c>
      <c r="J1275" s="13" t="s">
        <v>4191</v>
      </c>
      <c r="K1275" s="12">
        <v>9785206001013</v>
      </c>
      <c r="L1275" s="13" t="s">
        <v>4192</v>
      </c>
      <c r="M1275" s="12">
        <v>576</v>
      </c>
      <c r="N1275" s="14">
        <v>0.76</v>
      </c>
      <c r="O1275" s="12">
        <v>150</v>
      </c>
      <c r="P1275" s="12">
        <v>220</v>
      </c>
      <c r="Q1275" s="12">
        <v>4</v>
      </c>
      <c r="R1275" s="13" t="s">
        <v>43</v>
      </c>
      <c r="S1275" s="13"/>
      <c r="T1275" s="15">
        <v>1000</v>
      </c>
      <c r="U1275" s="13" t="s">
        <v>52</v>
      </c>
      <c r="V1275" s="13" t="s">
        <v>59</v>
      </c>
      <c r="W1275" s="12">
        <v>10</v>
      </c>
      <c r="X1275" s="33" t="str">
        <f>HYPERLINK("https://www.alpinabook.ru/catalog/book-ustoychivoe-investirovanie","ссылка на книгу")</f>
        <v>ссылка на книгу</v>
      </c>
      <c r="Y1275" s="34" t="str">
        <f>HYPERLINK("https://api-enni.alpina.ru/FilePrivilegesApproval/168","https://api-enni.alpina.ru/FilePrivilegesApproval/168")</f>
        <v>https://api-enni.alpina.ru/FilePrivilegesApproval/168</v>
      </c>
      <c r="Z1275" s="13"/>
      <c r="AT1275" s="1">
        <f t="shared" si="218"/>
        <v>0</v>
      </c>
      <c r="AU1275" s="1">
        <f t="shared" si="219"/>
        <v>0</v>
      </c>
      <c r="AV1275" s="1">
        <f t="shared" si="220"/>
        <v>0</v>
      </c>
      <c r="AW1275" s="1">
        <f t="shared" si="221"/>
        <v>0</v>
      </c>
      <c r="AX1275" s="1">
        <f t="shared" si="222"/>
        <v>0</v>
      </c>
    </row>
    <row r="1276" spans="1:50" ht="11.1" customHeight="1" outlineLevel="2" x14ac:dyDescent="0.2">
      <c r="A1276" s="40" t="s">
        <v>4193</v>
      </c>
      <c r="B1276" s="40"/>
      <c r="C1276" s="40"/>
      <c r="D1276" s="40"/>
      <c r="E1276" s="40"/>
      <c r="F1276" s="40"/>
      <c r="G1276" s="40"/>
      <c r="H1276" s="40"/>
      <c r="I1276" s="40"/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20"/>
    </row>
    <row r="1277" spans="1:50" s="1" customFormat="1" ht="24.95" customHeight="1" outlineLevel="3" x14ac:dyDescent="0.2">
      <c r="A1277" s="11"/>
      <c r="B1277" s="12">
        <v>690</v>
      </c>
      <c r="C1277" s="12">
        <v>990</v>
      </c>
      <c r="D1277" s="12">
        <v>32191</v>
      </c>
      <c r="E1277" s="13" t="s">
        <v>4194</v>
      </c>
      <c r="F1277" s="13" t="s">
        <v>4195</v>
      </c>
      <c r="G1277" s="13" t="s">
        <v>97</v>
      </c>
      <c r="H1277" s="13"/>
      <c r="I1277" s="12">
        <v>2025</v>
      </c>
      <c r="J1277" s="13" t="s">
        <v>4196</v>
      </c>
      <c r="K1277" s="12">
        <v>9785206004540</v>
      </c>
      <c r="L1277" s="13" t="s">
        <v>4197</v>
      </c>
      <c r="M1277" s="12">
        <v>224</v>
      </c>
      <c r="N1277" s="14">
        <v>0.37</v>
      </c>
      <c r="O1277" s="12">
        <v>150</v>
      </c>
      <c r="P1277" s="12">
        <v>220</v>
      </c>
      <c r="Q1277" s="12">
        <v>5</v>
      </c>
      <c r="R1277" s="13" t="s">
        <v>43</v>
      </c>
      <c r="S1277" s="13"/>
      <c r="T1277" s="15">
        <v>2005</v>
      </c>
      <c r="U1277" s="13" t="s">
        <v>52</v>
      </c>
      <c r="V1277" s="13" t="s">
        <v>59</v>
      </c>
      <c r="W1277" s="12">
        <v>10</v>
      </c>
      <c r="X1277" s="33" t="str">
        <f>HYPERLINK("https://www.alpinabook.ru/catalog/book-let-s-come-together","ссылка на книгу")</f>
        <v>ссылка на книгу</v>
      </c>
      <c r="Y1277" s="34" t="str">
        <f>HYPERLINK("https://api-enni.alpina.ru/FilePrivilegesApproval/834","https://api-enni.alpina.ru/FilePrivilegesApproval/834")</f>
        <v>https://api-enni.alpina.ru/FilePrivilegesApproval/834</v>
      </c>
      <c r="Z1277" s="13"/>
      <c r="AT1277" s="1">
        <f t="shared" ref="AT1277:AT1308" si="223">IF($A1277&lt;&gt;0,1,0)</f>
        <v>0</v>
      </c>
      <c r="AU1277" s="1">
        <f t="shared" ref="AU1277:AU1308" si="224">$A1277*$B1277</f>
        <v>0</v>
      </c>
      <c r="AV1277" s="1">
        <f t="shared" ref="AV1277:AV1308" si="225">$A1277*$N1277</f>
        <v>0</v>
      </c>
      <c r="AW1277" s="1">
        <f t="shared" ref="AW1277:AW1308" si="226">IF($Q1277=0,0,INT($A1277/$Q1277))</f>
        <v>0</v>
      </c>
      <c r="AX1277" s="1">
        <f t="shared" ref="AX1277:AX1308" si="227">$A1277-$AW1277*$Q1277</f>
        <v>0</v>
      </c>
    </row>
    <row r="1278" spans="1:50" s="1" customFormat="1" ht="24.95" customHeight="1" outlineLevel="3" x14ac:dyDescent="0.2">
      <c r="A1278" s="11"/>
      <c r="B1278" s="12">
        <v>890</v>
      </c>
      <c r="C1278" s="15">
        <v>1290</v>
      </c>
      <c r="D1278" s="12">
        <v>11799</v>
      </c>
      <c r="E1278" s="13" t="s">
        <v>4198</v>
      </c>
      <c r="F1278" s="13" t="s">
        <v>4199</v>
      </c>
      <c r="G1278" s="13" t="s">
        <v>56</v>
      </c>
      <c r="H1278" s="13" t="s">
        <v>40</v>
      </c>
      <c r="I1278" s="12">
        <v>2025</v>
      </c>
      <c r="J1278" s="13" t="s">
        <v>4200</v>
      </c>
      <c r="K1278" s="12">
        <v>9785961428506</v>
      </c>
      <c r="L1278" s="13" t="s">
        <v>4201</v>
      </c>
      <c r="M1278" s="12">
        <v>205</v>
      </c>
      <c r="N1278" s="14">
        <v>0.35</v>
      </c>
      <c r="O1278" s="12">
        <v>141</v>
      </c>
      <c r="P1278" s="12">
        <v>210</v>
      </c>
      <c r="Q1278" s="12">
        <v>12</v>
      </c>
      <c r="R1278" s="13" t="s">
        <v>43</v>
      </c>
      <c r="S1278" s="13"/>
      <c r="T1278" s="15">
        <v>4000</v>
      </c>
      <c r="U1278" s="13" t="s">
        <v>44</v>
      </c>
      <c r="V1278" s="13" t="s">
        <v>45</v>
      </c>
      <c r="W1278" s="12">
        <v>10</v>
      </c>
      <c r="X1278" s="33" t="str">
        <f>HYPERLINK("https://www.alpinabook.ru/catalog/book-mba-v-kartinkakh","ссылка на книгу")</f>
        <v>ссылка на книгу</v>
      </c>
      <c r="Y1278" s="34" t="str">
        <f>HYPERLINK("https://api-enni.alpina.ru/FilePrivilegesApproval/125","https://api-enni.alpina.ru/FilePrivilegesApproval/125")</f>
        <v>https://api-enni.alpina.ru/FilePrivilegesApproval/125</v>
      </c>
      <c r="Z1278" s="13"/>
      <c r="AT1278" s="1">
        <f t="shared" si="223"/>
        <v>0</v>
      </c>
      <c r="AU1278" s="1">
        <f t="shared" si="224"/>
        <v>0</v>
      </c>
      <c r="AV1278" s="1">
        <f t="shared" si="225"/>
        <v>0</v>
      </c>
      <c r="AW1278" s="1">
        <f t="shared" si="226"/>
        <v>0</v>
      </c>
      <c r="AX1278" s="1">
        <f t="shared" si="227"/>
        <v>0</v>
      </c>
    </row>
    <row r="1279" spans="1:50" s="1" customFormat="1" ht="24.95" customHeight="1" outlineLevel="3" x14ac:dyDescent="0.2">
      <c r="A1279" s="11"/>
      <c r="B1279" s="12">
        <v>790</v>
      </c>
      <c r="C1279" s="12">
        <v>790</v>
      </c>
      <c r="D1279" s="12">
        <v>18674</v>
      </c>
      <c r="E1279" s="13" t="s">
        <v>4202</v>
      </c>
      <c r="F1279" s="13" t="s">
        <v>4203</v>
      </c>
      <c r="G1279" s="13" t="s">
        <v>56</v>
      </c>
      <c r="H1279" s="13"/>
      <c r="I1279" s="12">
        <v>2021</v>
      </c>
      <c r="J1279" s="13" t="s">
        <v>4204</v>
      </c>
      <c r="K1279" s="12">
        <v>9785961437638</v>
      </c>
      <c r="L1279" s="13" t="s">
        <v>4205</v>
      </c>
      <c r="M1279" s="12">
        <v>342</v>
      </c>
      <c r="N1279" s="14">
        <v>0.5</v>
      </c>
      <c r="O1279" s="12">
        <v>146</v>
      </c>
      <c r="P1279" s="12">
        <v>216</v>
      </c>
      <c r="Q1279" s="12">
        <v>10</v>
      </c>
      <c r="R1279" s="13" t="s">
        <v>43</v>
      </c>
      <c r="S1279" s="13"/>
      <c r="T1279" s="15">
        <v>2000</v>
      </c>
      <c r="U1279" s="13" t="s">
        <v>52</v>
      </c>
      <c r="V1279" s="13" t="s">
        <v>269</v>
      </c>
      <c r="W1279" s="12">
        <v>10</v>
      </c>
      <c r="X1279" s="33" t="str">
        <f>HYPERLINK("https://www.alpinabook.ru/catalog/book-652016","ссылка на книгу")</f>
        <v>ссылка на книгу</v>
      </c>
      <c r="Y1279" s="34" t="str">
        <f>HYPERLINK("https://api-enni.alpina.ru/FilePrivilegesApproval/75","https://api-enni.alpina.ru/FilePrivilegesApproval/75")</f>
        <v>https://api-enni.alpina.ru/FilePrivilegesApproval/75</v>
      </c>
      <c r="Z1279" s="13"/>
      <c r="AT1279" s="1">
        <f t="shared" si="223"/>
        <v>0</v>
      </c>
      <c r="AU1279" s="1">
        <f t="shared" si="224"/>
        <v>0</v>
      </c>
      <c r="AV1279" s="1">
        <f t="shared" si="225"/>
        <v>0</v>
      </c>
      <c r="AW1279" s="1">
        <f t="shared" si="226"/>
        <v>0</v>
      </c>
      <c r="AX1279" s="1">
        <f t="shared" si="227"/>
        <v>0</v>
      </c>
    </row>
    <row r="1280" spans="1:50" s="1" customFormat="1" ht="24.95" customHeight="1" outlineLevel="3" x14ac:dyDescent="0.2">
      <c r="A1280" s="26"/>
      <c r="B1280" s="27">
        <v>640</v>
      </c>
      <c r="C1280" s="27">
        <v>940</v>
      </c>
      <c r="D1280" s="27">
        <v>6853</v>
      </c>
      <c r="E1280" s="29" t="s">
        <v>4206</v>
      </c>
      <c r="F1280" s="29" t="s">
        <v>4207</v>
      </c>
      <c r="G1280" s="29" t="s">
        <v>97</v>
      </c>
      <c r="H1280" s="29" t="s">
        <v>40</v>
      </c>
      <c r="I1280" s="27">
        <v>2023</v>
      </c>
      <c r="J1280" s="29" t="s">
        <v>4208</v>
      </c>
      <c r="K1280" s="27">
        <v>9785961460230</v>
      </c>
      <c r="L1280" s="29" t="s">
        <v>4209</v>
      </c>
      <c r="M1280" s="27">
        <v>228</v>
      </c>
      <c r="N1280" s="30">
        <v>0.5</v>
      </c>
      <c r="O1280" s="27">
        <v>171</v>
      </c>
      <c r="P1280" s="27">
        <v>241</v>
      </c>
      <c r="Q1280" s="27">
        <v>5</v>
      </c>
      <c r="R1280" s="29" t="s">
        <v>94</v>
      </c>
      <c r="S1280" s="29"/>
      <c r="T1280" s="28">
        <v>1000</v>
      </c>
      <c r="U1280" s="29" t="s">
        <v>52</v>
      </c>
      <c r="V1280" s="29" t="s">
        <v>64</v>
      </c>
      <c r="W1280" s="27">
        <v>10</v>
      </c>
      <c r="X1280" s="37" t="str">
        <f>HYPERLINK("https://www.alpinabook.ru/catalog/book-algoritmy-effektivnoy-raboty","ссылка на книгу")</f>
        <v>ссылка на книгу</v>
      </c>
      <c r="Y1280" s="38" t="str">
        <f>HYPERLINK("https://api-enni.alpina.ru/FilePrivilegesApproval/2","https://api-enni.alpina.ru/FilePrivilegesApproval/2")</f>
        <v>https://api-enni.alpina.ru/FilePrivilegesApproval/2</v>
      </c>
      <c r="Z1280" s="29" t="s">
        <v>567</v>
      </c>
      <c r="AT1280" s="1">
        <f t="shared" si="223"/>
        <v>0</v>
      </c>
      <c r="AU1280" s="1">
        <f t="shared" si="224"/>
        <v>0</v>
      </c>
      <c r="AV1280" s="1">
        <f t="shared" si="225"/>
        <v>0</v>
      </c>
      <c r="AW1280" s="1">
        <f t="shared" si="226"/>
        <v>0</v>
      </c>
      <c r="AX1280" s="1">
        <f t="shared" si="227"/>
        <v>0</v>
      </c>
    </row>
    <row r="1281" spans="1:50" s="1" customFormat="1" ht="24.95" customHeight="1" outlineLevel="3" x14ac:dyDescent="0.2">
      <c r="A1281" s="11"/>
      <c r="B1281" s="12">
        <v>840</v>
      </c>
      <c r="C1281" s="15">
        <v>1290</v>
      </c>
      <c r="D1281" s="12">
        <v>5289</v>
      </c>
      <c r="E1281" s="13" t="s">
        <v>4210</v>
      </c>
      <c r="F1281" s="13" t="s">
        <v>4211</v>
      </c>
      <c r="G1281" s="13" t="s">
        <v>56</v>
      </c>
      <c r="H1281" s="13" t="s">
        <v>40</v>
      </c>
      <c r="I1281" s="12">
        <v>2024</v>
      </c>
      <c r="J1281" s="13" t="s">
        <v>4212</v>
      </c>
      <c r="K1281" s="12">
        <v>9785961468298</v>
      </c>
      <c r="L1281" s="13" t="s">
        <v>4213</v>
      </c>
      <c r="M1281" s="12">
        <v>472</v>
      </c>
      <c r="N1281" s="14">
        <v>0.9</v>
      </c>
      <c r="O1281" s="12">
        <v>168</v>
      </c>
      <c r="P1281" s="12">
        <v>241</v>
      </c>
      <c r="Q1281" s="12">
        <v>5</v>
      </c>
      <c r="R1281" s="13" t="s">
        <v>94</v>
      </c>
      <c r="S1281" s="13"/>
      <c r="T1281" s="15">
        <v>1500</v>
      </c>
      <c r="U1281" s="13" t="s">
        <v>52</v>
      </c>
      <c r="V1281" s="13" t="s">
        <v>64</v>
      </c>
      <c r="W1281" s="12">
        <v>10</v>
      </c>
      <c r="X1281" s="33" t="str">
        <f>HYPERLINK("https://www.alpinabook.ru/catalog/book-berezhlivoe-proizvodstvo","ссылка на книгу")</f>
        <v>ссылка на книгу</v>
      </c>
      <c r="Y1281" s="34" t="str">
        <f>HYPERLINK("https://api-enni.alpina.ru/FilePrivilegesApproval/2","https://api-enni.alpina.ru/FilePrivilegesApproval/2")</f>
        <v>https://api-enni.alpina.ru/FilePrivilegesApproval/2</v>
      </c>
      <c r="Z1281" s="13"/>
      <c r="AT1281" s="1">
        <f t="shared" si="223"/>
        <v>0</v>
      </c>
      <c r="AU1281" s="1">
        <f t="shared" si="224"/>
        <v>0</v>
      </c>
      <c r="AV1281" s="1">
        <f t="shared" si="225"/>
        <v>0</v>
      </c>
      <c r="AW1281" s="1">
        <f t="shared" si="226"/>
        <v>0</v>
      </c>
      <c r="AX1281" s="1">
        <f t="shared" si="227"/>
        <v>0</v>
      </c>
    </row>
    <row r="1282" spans="1:50" s="1" customFormat="1" ht="24.95" customHeight="1" outlineLevel="3" x14ac:dyDescent="0.2">
      <c r="A1282" s="11"/>
      <c r="B1282" s="12">
        <v>840</v>
      </c>
      <c r="C1282" s="15">
        <v>1290</v>
      </c>
      <c r="D1282" s="12">
        <v>30735</v>
      </c>
      <c r="E1282" s="13" t="s">
        <v>4214</v>
      </c>
      <c r="F1282" s="13" t="s">
        <v>4215</v>
      </c>
      <c r="G1282" s="13" t="s">
        <v>56</v>
      </c>
      <c r="H1282" s="13"/>
      <c r="I1282" s="12">
        <v>2025</v>
      </c>
      <c r="J1282" s="13" t="s">
        <v>4216</v>
      </c>
      <c r="K1282" s="12">
        <v>9785961496345</v>
      </c>
      <c r="L1282" s="13" t="s">
        <v>4217</v>
      </c>
      <c r="M1282" s="12">
        <v>392</v>
      </c>
      <c r="N1282" s="14">
        <v>0.56000000000000005</v>
      </c>
      <c r="O1282" s="12">
        <v>150</v>
      </c>
      <c r="P1282" s="12">
        <v>220</v>
      </c>
      <c r="Q1282" s="12">
        <v>10</v>
      </c>
      <c r="R1282" s="13" t="s">
        <v>43</v>
      </c>
      <c r="S1282" s="13"/>
      <c r="T1282" s="15">
        <v>2000</v>
      </c>
      <c r="U1282" s="13" t="s">
        <v>52</v>
      </c>
      <c r="V1282" s="13" t="s">
        <v>59</v>
      </c>
      <c r="W1282" s="12">
        <v>10</v>
      </c>
      <c r="X1282" s="33" t="str">
        <f>HYPERLINK("https://www.alpinabook.ru/catalog/book-biznes-kak-chasy","ссылка на книгу")</f>
        <v>ссылка на книгу</v>
      </c>
      <c r="Y1282" s="34" t="str">
        <f>HYPERLINK("https://api-enni.alpina.ru/FilePrivilegesApproval/546","https://api-enni.alpina.ru/FilePrivilegesApproval/546")</f>
        <v>https://api-enni.alpina.ru/FilePrivilegesApproval/546</v>
      </c>
      <c r="Z1282" s="13"/>
      <c r="AT1282" s="1">
        <f t="shared" si="223"/>
        <v>0</v>
      </c>
      <c r="AU1282" s="1">
        <f t="shared" si="224"/>
        <v>0</v>
      </c>
      <c r="AV1282" s="1">
        <f t="shared" si="225"/>
        <v>0</v>
      </c>
      <c r="AW1282" s="1">
        <f t="shared" si="226"/>
        <v>0</v>
      </c>
      <c r="AX1282" s="1">
        <f t="shared" si="227"/>
        <v>0</v>
      </c>
    </row>
    <row r="1283" spans="1:50" s="1" customFormat="1" ht="24.95" customHeight="1" outlineLevel="3" x14ac:dyDescent="0.2">
      <c r="A1283" s="11"/>
      <c r="B1283" s="12">
        <v>690</v>
      </c>
      <c r="C1283" s="12">
        <v>990</v>
      </c>
      <c r="D1283" s="12">
        <v>22767</v>
      </c>
      <c r="E1283" s="13" t="s">
        <v>309</v>
      </c>
      <c r="F1283" s="13" t="s">
        <v>310</v>
      </c>
      <c r="G1283" s="13" t="s">
        <v>56</v>
      </c>
      <c r="H1283" s="13" t="s">
        <v>40</v>
      </c>
      <c r="I1283" s="12">
        <v>2025</v>
      </c>
      <c r="J1283" s="13" t="s">
        <v>311</v>
      </c>
      <c r="K1283" s="12">
        <v>9785961474985</v>
      </c>
      <c r="L1283" s="13" t="s">
        <v>312</v>
      </c>
      <c r="M1283" s="12">
        <v>216</v>
      </c>
      <c r="N1283" s="14">
        <v>0.34</v>
      </c>
      <c r="O1283" s="12">
        <v>150</v>
      </c>
      <c r="P1283" s="12">
        <v>220</v>
      </c>
      <c r="Q1283" s="12">
        <v>10</v>
      </c>
      <c r="R1283" s="13" t="s">
        <v>43</v>
      </c>
      <c r="S1283" s="13"/>
      <c r="T1283" s="15">
        <v>1000</v>
      </c>
      <c r="U1283" s="13" t="s">
        <v>52</v>
      </c>
      <c r="V1283" s="13" t="s">
        <v>59</v>
      </c>
      <c r="W1283" s="12">
        <v>10</v>
      </c>
      <c r="X1283" s="33" t="str">
        <f>HYPERLINK("https://www.alpinabook.ru/catalog/book-biznes-na-paltsakh","ссылка на книгу")</f>
        <v>ссылка на книгу</v>
      </c>
      <c r="Y1283" s="34" t="str">
        <f>HYPERLINK("https://api-enni.alpina.ru/FilePrivilegesApproval/124","https://api-enni.alpina.ru/FilePrivilegesApproval/124")</f>
        <v>https://api-enni.alpina.ru/FilePrivilegesApproval/124</v>
      </c>
      <c r="Z1283" s="13" t="s">
        <v>118</v>
      </c>
      <c r="AT1283" s="1">
        <f t="shared" si="223"/>
        <v>0</v>
      </c>
      <c r="AU1283" s="1">
        <f t="shared" si="224"/>
        <v>0</v>
      </c>
      <c r="AV1283" s="1">
        <f t="shared" si="225"/>
        <v>0</v>
      </c>
      <c r="AW1283" s="1">
        <f t="shared" si="226"/>
        <v>0</v>
      </c>
      <c r="AX1283" s="1">
        <f t="shared" si="227"/>
        <v>0</v>
      </c>
    </row>
    <row r="1284" spans="1:50" s="1" customFormat="1" ht="24.95" customHeight="1" outlineLevel="3" x14ac:dyDescent="0.2">
      <c r="A1284" s="11"/>
      <c r="B1284" s="12">
        <v>490</v>
      </c>
      <c r="C1284" s="12">
        <v>740</v>
      </c>
      <c r="D1284" s="12">
        <v>25101</v>
      </c>
      <c r="E1284" s="13" t="s">
        <v>4218</v>
      </c>
      <c r="F1284" s="13" t="s">
        <v>4219</v>
      </c>
      <c r="G1284" s="13" t="s">
        <v>56</v>
      </c>
      <c r="H1284" s="13" t="s">
        <v>40</v>
      </c>
      <c r="I1284" s="12">
        <v>2023</v>
      </c>
      <c r="J1284" s="13" t="s">
        <v>4220</v>
      </c>
      <c r="K1284" s="12">
        <v>9785961476880</v>
      </c>
      <c r="L1284" s="13" t="s">
        <v>4221</v>
      </c>
      <c r="M1284" s="12">
        <v>288</v>
      </c>
      <c r="N1284" s="14">
        <v>0.28999999999999998</v>
      </c>
      <c r="O1284" s="12">
        <v>130</v>
      </c>
      <c r="P1284" s="12">
        <v>200</v>
      </c>
      <c r="Q1284" s="12">
        <v>16</v>
      </c>
      <c r="R1284" s="13" t="s">
        <v>82</v>
      </c>
      <c r="S1284" s="13"/>
      <c r="T1284" s="15">
        <v>1500</v>
      </c>
      <c r="U1284" s="13" t="s">
        <v>44</v>
      </c>
      <c r="V1284" s="13" t="s">
        <v>64</v>
      </c>
      <c r="W1284" s="12">
        <v>10</v>
      </c>
      <c r="X1284" s="33" t="str">
        <f>HYPERLINK("https://www.alpinabook.ru/catalog/book-biznes-plan-kotoryy-rabotaet","ссылка на книгу")</f>
        <v>ссылка на книгу</v>
      </c>
      <c r="Y1284" s="34" t="str">
        <f>HYPERLINK("https://api-enni.alpina.ru/FilePrivilegesApproval/163","https://api-enni.alpina.ru/FilePrivilegesApproval/163")</f>
        <v>https://api-enni.alpina.ru/FilePrivilegesApproval/163</v>
      </c>
      <c r="Z1284" s="13"/>
      <c r="AT1284" s="1">
        <f t="shared" si="223"/>
        <v>0</v>
      </c>
      <c r="AU1284" s="1">
        <f t="shared" si="224"/>
        <v>0</v>
      </c>
      <c r="AV1284" s="1">
        <f t="shared" si="225"/>
        <v>0</v>
      </c>
      <c r="AW1284" s="1">
        <f t="shared" si="226"/>
        <v>0</v>
      </c>
      <c r="AX1284" s="1">
        <f t="shared" si="227"/>
        <v>0</v>
      </c>
    </row>
    <row r="1285" spans="1:50" s="1" customFormat="1" ht="24.95" customHeight="1" outlineLevel="3" x14ac:dyDescent="0.2">
      <c r="A1285" s="11"/>
      <c r="B1285" s="12">
        <v>890</v>
      </c>
      <c r="C1285" s="15">
        <v>1290</v>
      </c>
      <c r="D1285" s="12">
        <v>25700</v>
      </c>
      <c r="E1285" s="13" t="s">
        <v>4222</v>
      </c>
      <c r="F1285" s="13" t="s">
        <v>4223</v>
      </c>
      <c r="G1285" s="13" t="s">
        <v>56</v>
      </c>
      <c r="H1285" s="13"/>
      <c r="I1285" s="12">
        <v>2024</v>
      </c>
      <c r="J1285" s="13" t="s">
        <v>4224</v>
      </c>
      <c r="K1285" s="12">
        <v>9785961478402</v>
      </c>
      <c r="L1285" s="13" t="s">
        <v>4225</v>
      </c>
      <c r="M1285" s="12">
        <v>348</v>
      </c>
      <c r="N1285" s="14">
        <v>0.75</v>
      </c>
      <c r="O1285" s="12">
        <v>180</v>
      </c>
      <c r="P1285" s="12">
        <v>220</v>
      </c>
      <c r="Q1285" s="12">
        <v>5</v>
      </c>
      <c r="R1285" s="13" t="s">
        <v>100</v>
      </c>
      <c r="S1285" s="13"/>
      <c r="T1285" s="15">
        <v>2000</v>
      </c>
      <c r="U1285" s="13" t="s">
        <v>52</v>
      </c>
      <c r="V1285" s="13" t="s">
        <v>59</v>
      </c>
      <c r="W1285" s="12">
        <v>10</v>
      </c>
      <c r="X1285" s="33" t="str">
        <f>HYPERLINK("https://www.alpinabook.ru/catalog/book-biryuzovoe-upravlenie-na-praktike-2-izdanie","ссылка на книгу")</f>
        <v>ссылка на книгу</v>
      </c>
      <c r="Y1285" s="34" t="str">
        <f>HYPERLINK("https://api-enni.alpina.ru/FilePrivilegesApproval/156","https://api-enni.alpina.ru/FilePrivilegesApproval/156")</f>
        <v>https://api-enni.alpina.ru/FilePrivilegesApproval/156</v>
      </c>
      <c r="Z1285" s="13"/>
      <c r="AT1285" s="1">
        <f t="shared" si="223"/>
        <v>0</v>
      </c>
      <c r="AU1285" s="1">
        <f t="shared" si="224"/>
        <v>0</v>
      </c>
      <c r="AV1285" s="1">
        <f t="shared" si="225"/>
        <v>0</v>
      </c>
      <c r="AW1285" s="1">
        <f t="shared" si="226"/>
        <v>0</v>
      </c>
      <c r="AX1285" s="1">
        <f t="shared" si="227"/>
        <v>0</v>
      </c>
    </row>
    <row r="1286" spans="1:50" s="1" customFormat="1" ht="24.95" customHeight="1" outlineLevel="3" x14ac:dyDescent="0.2">
      <c r="A1286" s="11"/>
      <c r="B1286" s="12">
        <v>540</v>
      </c>
      <c r="C1286" s="12">
        <v>790</v>
      </c>
      <c r="D1286" s="12">
        <v>22872</v>
      </c>
      <c r="E1286" s="13" t="s">
        <v>1026</v>
      </c>
      <c r="F1286" s="13" t="s">
        <v>4226</v>
      </c>
      <c r="G1286" s="13" t="s">
        <v>97</v>
      </c>
      <c r="H1286" s="13"/>
      <c r="I1286" s="12">
        <v>2024</v>
      </c>
      <c r="J1286" s="13" t="s">
        <v>4227</v>
      </c>
      <c r="K1286" s="12">
        <v>9785907470095</v>
      </c>
      <c r="L1286" s="13" t="s">
        <v>4228</v>
      </c>
      <c r="M1286" s="12">
        <v>112</v>
      </c>
      <c r="N1286" s="14">
        <v>0.28000000000000003</v>
      </c>
      <c r="O1286" s="12">
        <v>150</v>
      </c>
      <c r="P1286" s="12">
        <v>220</v>
      </c>
      <c r="Q1286" s="12">
        <v>8</v>
      </c>
      <c r="R1286" s="13" t="s">
        <v>43</v>
      </c>
      <c r="S1286" s="13"/>
      <c r="T1286" s="15">
        <v>1000</v>
      </c>
      <c r="U1286" s="13" t="s">
        <v>52</v>
      </c>
      <c r="V1286" s="13" t="s">
        <v>59</v>
      </c>
      <c r="W1286" s="12">
        <v>10</v>
      </c>
      <c r="X1286" s="33" t="str">
        <f>HYPERLINK("https://www.alpinabook.ru/catalog/book-bystrye-i-effektivnye-soveshchaniya","ссылка на книгу")</f>
        <v>ссылка на книгу</v>
      </c>
      <c r="Y1286" s="34" t="str">
        <f>HYPERLINK("https://api-enni.alpina.ru/FilePrivilegesApproval/120","https://api-enni.alpina.ru/FilePrivilegesApproval/120")</f>
        <v>https://api-enni.alpina.ru/FilePrivilegesApproval/120</v>
      </c>
      <c r="Z1286" s="13"/>
      <c r="AT1286" s="1">
        <f t="shared" si="223"/>
        <v>0</v>
      </c>
      <c r="AU1286" s="1">
        <f t="shared" si="224"/>
        <v>0</v>
      </c>
      <c r="AV1286" s="1">
        <f t="shared" si="225"/>
        <v>0</v>
      </c>
      <c r="AW1286" s="1">
        <f t="shared" si="226"/>
        <v>0</v>
      </c>
      <c r="AX1286" s="1">
        <f t="shared" si="227"/>
        <v>0</v>
      </c>
    </row>
    <row r="1287" spans="1:50" s="1" customFormat="1" ht="24.95" customHeight="1" outlineLevel="3" x14ac:dyDescent="0.2">
      <c r="A1287" s="11"/>
      <c r="B1287" s="12">
        <v>990</v>
      </c>
      <c r="C1287" s="15">
        <v>1490</v>
      </c>
      <c r="D1287" s="12">
        <v>4573</v>
      </c>
      <c r="E1287" s="13" t="s">
        <v>359</v>
      </c>
      <c r="F1287" s="13" t="s">
        <v>360</v>
      </c>
      <c r="G1287" s="13" t="s">
        <v>56</v>
      </c>
      <c r="H1287" s="13" t="s">
        <v>40</v>
      </c>
      <c r="I1287" s="12">
        <v>2025</v>
      </c>
      <c r="J1287" s="13" t="s">
        <v>361</v>
      </c>
      <c r="K1287" s="12">
        <v>9785961468502</v>
      </c>
      <c r="L1287" s="13" t="s">
        <v>362</v>
      </c>
      <c r="M1287" s="12">
        <v>352</v>
      </c>
      <c r="N1287" s="14">
        <v>0.7</v>
      </c>
      <c r="O1287" s="12">
        <v>170</v>
      </c>
      <c r="P1287" s="12">
        <v>240</v>
      </c>
      <c r="Q1287" s="12">
        <v>5</v>
      </c>
      <c r="R1287" s="13" t="s">
        <v>94</v>
      </c>
      <c r="S1287" s="13"/>
      <c r="T1287" s="15">
        <v>1000</v>
      </c>
      <c r="U1287" s="13" t="s">
        <v>52</v>
      </c>
      <c r="V1287" s="13" t="s">
        <v>64</v>
      </c>
      <c r="W1287" s="12">
        <v>10</v>
      </c>
      <c r="X1287" s="33" t="str">
        <f>HYPERLINK("https://www.alpinabook.ru/catalog/book-vovremya-i-v-ramkakh-byudzheta","ссылка на книгу")</f>
        <v>ссылка на книгу</v>
      </c>
      <c r="Y1287" s="34" t="str">
        <f>HYPERLINK("https://api-enni.alpina.ru/FilePrivilegesApproval/2","https://api-enni.alpina.ru/FilePrivilegesApproval/2")</f>
        <v>https://api-enni.alpina.ru/FilePrivilegesApproval/2</v>
      </c>
      <c r="Z1287" s="13" t="s">
        <v>118</v>
      </c>
      <c r="AT1287" s="1">
        <f t="shared" si="223"/>
        <v>0</v>
      </c>
      <c r="AU1287" s="1">
        <f t="shared" si="224"/>
        <v>0</v>
      </c>
      <c r="AV1287" s="1">
        <f t="shared" si="225"/>
        <v>0</v>
      </c>
      <c r="AW1287" s="1">
        <f t="shared" si="226"/>
        <v>0</v>
      </c>
      <c r="AX1287" s="1">
        <f t="shared" si="227"/>
        <v>0</v>
      </c>
    </row>
    <row r="1288" spans="1:50" s="1" customFormat="1" ht="24.95" customHeight="1" outlineLevel="3" x14ac:dyDescent="0.2">
      <c r="A1288" s="11"/>
      <c r="B1288" s="12">
        <v>790</v>
      </c>
      <c r="C1288" s="15">
        <v>1190</v>
      </c>
      <c r="D1288" s="12">
        <v>24235</v>
      </c>
      <c r="E1288" s="13" t="s">
        <v>756</v>
      </c>
      <c r="F1288" s="13" t="s">
        <v>4229</v>
      </c>
      <c r="G1288" s="13" t="s">
        <v>56</v>
      </c>
      <c r="H1288" s="13"/>
      <c r="I1288" s="12">
        <v>2025</v>
      </c>
      <c r="J1288" s="13" t="s">
        <v>4230</v>
      </c>
      <c r="K1288" s="12">
        <v>9785961480160</v>
      </c>
      <c r="L1288" s="13" t="s">
        <v>4231</v>
      </c>
      <c r="M1288" s="12">
        <v>472</v>
      </c>
      <c r="N1288" s="14">
        <v>0.64</v>
      </c>
      <c r="O1288" s="12">
        <v>150</v>
      </c>
      <c r="P1288" s="12">
        <v>220</v>
      </c>
      <c r="Q1288" s="12">
        <v>6</v>
      </c>
      <c r="R1288" s="13" t="s">
        <v>43</v>
      </c>
      <c r="S1288" s="13"/>
      <c r="T1288" s="15">
        <v>2000</v>
      </c>
      <c r="U1288" s="13" t="s">
        <v>52</v>
      </c>
      <c r="V1288" s="13" t="s">
        <v>45</v>
      </c>
      <c r="W1288" s="12">
        <v>10</v>
      </c>
      <c r="X1288" s="33" t="str">
        <f>HYPERLINK("https://www.alpinabook.ru/catalog/book-voskhozhdenie-po-spirali","ссылка на книгу")</f>
        <v>ссылка на книгу</v>
      </c>
      <c r="Y1288" s="34" t="str">
        <f>HYPERLINK("https://api-enni.alpina.ru/FilePrivilegesApproval/152","https://api-enni.alpina.ru/FilePrivilegesApproval/152")</f>
        <v>https://api-enni.alpina.ru/FilePrivilegesApproval/152</v>
      </c>
      <c r="Z1288" s="13" t="s">
        <v>1918</v>
      </c>
      <c r="AT1288" s="1">
        <f t="shared" si="223"/>
        <v>0</v>
      </c>
      <c r="AU1288" s="1">
        <f t="shared" si="224"/>
        <v>0</v>
      </c>
      <c r="AV1288" s="1">
        <f t="shared" si="225"/>
        <v>0</v>
      </c>
      <c r="AW1288" s="1">
        <f t="shared" si="226"/>
        <v>0</v>
      </c>
      <c r="AX1288" s="1">
        <f t="shared" si="227"/>
        <v>0</v>
      </c>
    </row>
    <row r="1289" spans="1:50" s="1" customFormat="1" ht="24.95" customHeight="1" outlineLevel="3" x14ac:dyDescent="0.2">
      <c r="A1289" s="11"/>
      <c r="B1289" s="12">
        <v>890</v>
      </c>
      <c r="C1289" s="15">
        <v>1290</v>
      </c>
      <c r="D1289" s="12">
        <v>5074</v>
      </c>
      <c r="E1289" s="13" t="s">
        <v>546</v>
      </c>
      <c r="F1289" s="13" t="s">
        <v>4232</v>
      </c>
      <c r="G1289" s="13" t="s">
        <v>56</v>
      </c>
      <c r="H1289" s="13" t="s">
        <v>40</v>
      </c>
      <c r="I1289" s="12">
        <v>2025</v>
      </c>
      <c r="J1289" s="13" t="s">
        <v>4233</v>
      </c>
      <c r="K1289" s="12">
        <v>9785961471014</v>
      </c>
      <c r="L1289" s="13" t="s">
        <v>4234</v>
      </c>
      <c r="M1289" s="12">
        <v>418</v>
      </c>
      <c r="N1289" s="14">
        <v>0.78</v>
      </c>
      <c r="O1289" s="12">
        <v>170</v>
      </c>
      <c r="P1289" s="12">
        <v>240</v>
      </c>
      <c r="Q1289" s="12">
        <v>5</v>
      </c>
      <c r="R1289" s="13" t="s">
        <v>94</v>
      </c>
      <c r="S1289" s="13"/>
      <c r="T1289" s="15">
        <v>1000</v>
      </c>
      <c r="U1289" s="13" t="s">
        <v>52</v>
      </c>
      <c r="V1289" s="13" t="s">
        <v>64</v>
      </c>
      <c r="W1289" s="12">
        <v>10</v>
      </c>
      <c r="X1289" s="33" t="str">
        <f>HYPERLINK("https://www.alpinabook.ru/catalog/book-vykhod-iz-krizisa","ссылка на книгу")</f>
        <v>ссылка на книгу</v>
      </c>
      <c r="Y1289" s="34" t="str">
        <f>HYPERLINK("https://api-enni.alpina.ru/FilePrivilegesApproval/152","https://api-enni.alpina.ru/FilePrivilegesApproval/152")</f>
        <v>https://api-enni.alpina.ru/FilePrivilegesApproval/152</v>
      </c>
      <c r="Z1289" s="13" t="s">
        <v>2940</v>
      </c>
      <c r="AT1289" s="1">
        <f t="shared" si="223"/>
        <v>0</v>
      </c>
      <c r="AU1289" s="1">
        <f t="shared" si="224"/>
        <v>0</v>
      </c>
      <c r="AV1289" s="1">
        <f t="shared" si="225"/>
        <v>0</v>
      </c>
      <c r="AW1289" s="1">
        <f t="shared" si="226"/>
        <v>0</v>
      </c>
      <c r="AX1289" s="1">
        <f t="shared" si="227"/>
        <v>0</v>
      </c>
    </row>
    <row r="1290" spans="1:50" s="1" customFormat="1" ht="24.95" customHeight="1" outlineLevel="3" x14ac:dyDescent="0.2">
      <c r="A1290" s="11"/>
      <c r="B1290" s="12">
        <v>890</v>
      </c>
      <c r="C1290" s="12">
        <v>890</v>
      </c>
      <c r="D1290" s="12">
        <v>5534</v>
      </c>
      <c r="E1290" s="13" t="s">
        <v>4235</v>
      </c>
      <c r="F1290" s="13" t="s">
        <v>4236</v>
      </c>
      <c r="G1290" s="13" t="s">
        <v>56</v>
      </c>
      <c r="H1290" s="13" t="s">
        <v>40</v>
      </c>
      <c r="I1290" s="12">
        <v>2025</v>
      </c>
      <c r="J1290" s="13" t="s">
        <v>4237</v>
      </c>
      <c r="K1290" s="12">
        <v>9785961471113</v>
      </c>
      <c r="L1290" s="13" t="s">
        <v>4238</v>
      </c>
      <c r="M1290" s="12">
        <v>414</v>
      </c>
      <c r="N1290" s="14">
        <v>0.78</v>
      </c>
      <c r="O1290" s="12">
        <v>170</v>
      </c>
      <c r="P1290" s="12">
        <v>240</v>
      </c>
      <c r="Q1290" s="12">
        <v>6</v>
      </c>
      <c r="R1290" s="13" t="s">
        <v>94</v>
      </c>
      <c r="S1290" s="13"/>
      <c r="T1290" s="15">
        <v>2000</v>
      </c>
      <c r="U1290" s="13" t="s">
        <v>52</v>
      </c>
      <c r="V1290" s="13" t="s">
        <v>64</v>
      </c>
      <c r="W1290" s="12">
        <v>10</v>
      </c>
      <c r="X1290" s="33" t="str">
        <f>HYPERLINK("https://www.alpinabook.ru/catalog/book-gemba-kaydzen","ссылка на книгу")</f>
        <v>ссылка на книгу</v>
      </c>
      <c r="Y1290" s="34" t="str">
        <f>HYPERLINK("https://api-enni.alpina.ru/FilePrivilegesApproval/2","https://api-enni.alpina.ru/FilePrivilegesApproval/2")</f>
        <v>https://api-enni.alpina.ru/FilePrivilegesApproval/2</v>
      </c>
      <c r="Z1290" s="13" t="s">
        <v>1406</v>
      </c>
      <c r="AT1290" s="1">
        <f t="shared" si="223"/>
        <v>0</v>
      </c>
      <c r="AU1290" s="1">
        <f t="shared" si="224"/>
        <v>0</v>
      </c>
      <c r="AV1290" s="1">
        <f t="shared" si="225"/>
        <v>0</v>
      </c>
      <c r="AW1290" s="1">
        <f t="shared" si="226"/>
        <v>0</v>
      </c>
      <c r="AX1290" s="1">
        <f t="shared" si="227"/>
        <v>0</v>
      </c>
    </row>
    <row r="1291" spans="1:50" s="1" customFormat="1" ht="24.95" customHeight="1" outlineLevel="3" x14ac:dyDescent="0.2">
      <c r="A1291" s="11"/>
      <c r="B1291" s="12">
        <v>730</v>
      </c>
      <c r="C1291" s="15">
        <v>1090</v>
      </c>
      <c r="D1291" s="12">
        <v>7368</v>
      </c>
      <c r="E1291" s="13" t="s">
        <v>4239</v>
      </c>
      <c r="F1291" s="13" t="s">
        <v>4240</v>
      </c>
      <c r="G1291" s="13" t="s">
        <v>56</v>
      </c>
      <c r="H1291" s="13" t="s">
        <v>40</v>
      </c>
      <c r="I1291" s="12">
        <v>2025</v>
      </c>
      <c r="J1291" s="13" t="s">
        <v>4241</v>
      </c>
      <c r="K1291" s="12">
        <v>9785961469844</v>
      </c>
      <c r="L1291" s="13" t="s">
        <v>4242</v>
      </c>
      <c r="M1291" s="12">
        <v>336</v>
      </c>
      <c r="N1291" s="14">
        <v>0.63</v>
      </c>
      <c r="O1291" s="12">
        <v>168</v>
      </c>
      <c r="P1291" s="12">
        <v>241</v>
      </c>
      <c r="Q1291" s="12">
        <v>6</v>
      </c>
      <c r="R1291" s="13" t="s">
        <v>94</v>
      </c>
      <c r="S1291" s="13"/>
      <c r="T1291" s="15">
        <v>2000</v>
      </c>
      <c r="U1291" s="13" t="s">
        <v>52</v>
      </c>
      <c r="V1291" s="13" t="s">
        <v>64</v>
      </c>
      <c r="W1291" s="12">
        <v>10</v>
      </c>
      <c r="X1291" s="33" t="str">
        <f>HYPERLINK("https://www.alpinabook.ru/catalog/book-zhestkiy-menedzhment","ссылка на книгу")</f>
        <v>ссылка на книгу</v>
      </c>
      <c r="Y1291" s="34" t="str">
        <f>HYPERLINK("https://api-enni.alpina.ru/FilePrivilegesApproval/2","https://api-enni.alpina.ru/FilePrivilegesApproval/2")</f>
        <v>https://api-enni.alpina.ru/FilePrivilegesApproval/2</v>
      </c>
      <c r="Z1291" s="13" t="s">
        <v>334</v>
      </c>
      <c r="AT1291" s="1">
        <f t="shared" si="223"/>
        <v>0</v>
      </c>
      <c r="AU1291" s="1">
        <f t="shared" si="224"/>
        <v>0</v>
      </c>
      <c r="AV1291" s="1">
        <f t="shared" si="225"/>
        <v>0</v>
      </c>
      <c r="AW1291" s="1">
        <f t="shared" si="226"/>
        <v>0</v>
      </c>
      <c r="AX1291" s="1">
        <f t="shared" si="227"/>
        <v>0</v>
      </c>
    </row>
    <row r="1292" spans="1:50" s="1" customFormat="1" ht="24.95" customHeight="1" outlineLevel="3" x14ac:dyDescent="0.2">
      <c r="A1292" s="11"/>
      <c r="B1292" s="12">
        <v>590</v>
      </c>
      <c r="C1292" s="12">
        <v>790</v>
      </c>
      <c r="D1292" s="12">
        <v>7655</v>
      </c>
      <c r="E1292" s="13" t="s">
        <v>4239</v>
      </c>
      <c r="F1292" s="13" t="s">
        <v>4243</v>
      </c>
      <c r="G1292" s="13" t="s">
        <v>56</v>
      </c>
      <c r="H1292" s="13" t="s">
        <v>40</v>
      </c>
      <c r="I1292" s="12">
        <v>2025</v>
      </c>
      <c r="J1292" s="13" t="s">
        <v>4244</v>
      </c>
      <c r="K1292" s="12">
        <v>9785961465242</v>
      </c>
      <c r="L1292" s="13" t="s">
        <v>4245</v>
      </c>
      <c r="M1292" s="12">
        <v>336</v>
      </c>
      <c r="N1292" s="14">
        <v>0.53</v>
      </c>
      <c r="O1292" s="12">
        <v>160</v>
      </c>
      <c r="P1292" s="12">
        <v>240</v>
      </c>
      <c r="Q1292" s="12">
        <v>7</v>
      </c>
      <c r="R1292" s="13" t="s">
        <v>94</v>
      </c>
      <c r="S1292" s="13"/>
      <c r="T1292" s="15">
        <v>5000</v>
      </c>
      <c r="U1292" s="13" t="s">
        <v>44</v>
      </c>
      <c r="V1292" s="13" t="s">
        <v>64</v>
      </c>
      <c r="W1292" s="12">
        <v>10</v>
      </c>
      <c r="X1292" s="33" t="str">
        <f>HYPERLINK("https://www.alpinabook.ru/catalog/book-zhestkiy-menedzhment","ссылка на книгу")</f>
        <v>ссылка на книгу</v>
      </c>
      <c r="Y1292" s="34" t="str">
        <f>HYPERLINK("https://api-enni.alpina.ru/FilePrivilegesApproval/2","https://api-enni.alpina.ru/FilePrivilegesApproval/2")</f>
        <v>https://api-enni.alpina.ru/FilePrivilegesApproval/2</v>
      </c>
      <c r="Z1292" s="13" t="s">
        <v>1413</v>
      </c>
      <c r="AT1292" s="1">
        <f t="shared" si="223"/>
        <v>0</v>
      </c>
      <c r="AU1292" s="1">
        <f t="shared" si="224"/>
        <v>0</v>
      </c>
      <c r="AV1292" s="1">
        <f t="shared" si="225"/>
        <v>0</v>
      </c>
      <c r="AW1292" s="1">
        <f t="shared" si="226"/>
        <v>0</v>
      </c>
      <c r="AX1292" s="1">
        <f t="shared" si="227"/>
        <v>0</v>
      </c>
    </row>
    <row r="1293" spans="1:50" s="1" customFormat="1" ht="24.95" customHeight="1" outlineLevel="3" x14ac:dyDescent="0.2">
      <c r="A1293" s="11"/>
      <c r="B1293" s="12">
        <v>420</v>
      </c>
      <c r="C1293" s="12">
        <v>420</v>
      </c>
      <c r="D1293" s="12">
        <v>12847</v>
      </c>
      <c r="E1293" s="13" t="s">
        <v>4246</v>
      </c>
      <c r="F1293" s="13" t="s">
        <v>4247</v>
      </c>
      <c r="G1293" s="13" t="s">
        <v>97</v>
      </c>
      <c r="H1293" s="13"/>
      <c r="I1293" s="12">
        <v>2020</v>
      </c>
      <c r="J1293" s="13" t="s">
        <v>4248</v>
      </c>
      <c r="K1293" s="12">
        <v>9785604288009</v>
      </c>
      <c r="L1293" s="13" t="s">
        <v>4249</v>
      </c>
      <c r="M1293" s="12">
        <v>128</v>
      </c>
      <c r="N1293" s="14">
        <v>0.3</v>
      </c>
      <c r="O1293" s="12">
        <v>146</v>
      </c>
      <c r="P1293" s="12">
        <v>216</v>
      </c>
      <c r="Q1293" s="12">
        <v>18</v>
      </c>
      <c r="R1293" s="13" t="s">
        <v>43</v>
      </c>
      <c r="S1293" s="13"/>
      <c r="T1293" s="15">
        <v>1000</v>
      </c>
      <c r="U1293" s="13" t="s">
        <v>52</v>
      </c>
      <c r="V1293" s="13" t="s">
        <v>59</v>
      </c>
      <c r="W1293" s="12">
        <v>10</v>
      </c>
      <c r="X1293" s="33" t="str">
        <f>HYPERLINK("https://www.alpinabook.ru/catalog/book-616048","ссылка на книгу")</f>
        <v>ссылка на книгу</v>
      </c>
      <c r="Y1293" s="34" t="str">
        <f>HYPERLINK("https://api-enni.alpina.ru/FilePrivilegesApproval/53","https://api-enni.alpina.ru/FilePrivilegesApproval/53")</f>
        <v>https://api-enni.alpina.ru/FilePrivilegesApproval/53</v>
      </c>
      <c r="Z1293" s="13"/>
      <c r="AT1293" s="1">
        <f t="shared" si="223"/>
        <v>0</v>
      </c>
      <c r="AU1293" s="1">
        <f t="shared" si="224"/>
        <v>0</v>
      </c>
      <c r="AV1293" s="1">
        <f t="shared" si="225"/>
        <v>0</v>
      </c>
      <c r="AW1293" s="1">
        <f t="shared" si="226"/>
        <v>0</v>
      </c>
      <c r="AX1293" s="1">
        <f t="shared" si="227"/>
        <v>0</v>
      </c>
    </row>
    <row r="1294" spans="1:50" s="1" customFormat="1" ht="24.95" customHeight="1" outlineLevel="3" x14ac:dyDescent="0.2">
      <c r="A1294" s="11"/>
      <c r="B1294" s="12">
        <v>490</v>
      </c>
      <c r="C1294" s="12">
        <v>740</v>
      </c>
      <c r="D1294" s="12">
        <v>4251</v>
      </c>
      <c r="E1294" s="13" t="s">
        <v>4250</v>
      </c>
      <c r="F1294" s="13" t="s">
        <v>4251</v>
      </c>
      <c r="G1294" s="13" t="s">
        <v>97</v>
      </c>
      <c r="H1294" s="13" t="s">
        <v>40</v>
      </c>
      <c r="I1294" s="12">
        <v>2024</v>
      </c>
      <c r="J1294" s="13" t="s">
        <v>4252</v>
      </c>
      <c r="K1294" s="12">
        <v>9785961465334</v>
      </c>
      <c r="L1294" s="13" t="s">
        <v>4253</v>
      </c>
      <c r="M1294" s="12">
        <v>160</v>
      </c>
      <c r="N1294" s="14">
        <v>0.12</v>
      </c>
      <c r="O1294" s="12">
        <v>110</v>
      </c>
      <c r="P1294" s="12">
        <v>170</v>
      </c>
      <c r="Q1294" s="12">
        <v>20</v>
      </c>
      <c r="R1294" s="13" t="s">
        <v>731</v>
      </c>
      <c r="S1294" s="13"/>
      <c r="T1294" s="15">
        <v>1500</v>
      </c>
      <c r="U1294" s="13" t="s">
        <v>44</v>
      </c>
      <c r="V1294" s="13" t="s">
        <v>64</v>
      </c>
      <c r="W1294" s="12">
        <v>10</v>
      </c>
      <c r="X1294" s="33" t="str">
        <f>HYPERLINK("https://www.alpinabook.ru/catalog/book-instrumenty-berezhlivogo-proizvodstva-ii","ссылка на книгу")</f>
        <v>ссылка на книгу</v>
      </c>
      <c r="Y1294" s="34" t="str">
        <f>HYPERLINK("https://api-enni.alpina.ru/FilePrivilegesApproval/295","https://api-enni.alpina.ru/FilePrivilegesApproval/295")</f>
        <v>https://api-enni.alpina.ru/FilePrivilegesApproval/295</v>
      </c>
      <c r="Z1294" s="13"/>
      <c r="AT1294" s="1">
        <f t="shared" si="223"/>
        <v>0</v>
      </c>
      <c r="AU1294" s="1">
        <f t="shared" si="224"/>
        <v>0</v>
      </c>
      <c r="AV1294" s="1">
        <f t="shared" si="225"/>
        <v>0</v>
      </c>
      <c r="AW1294" s="1">
        <f t="shared" si="226"/>
        <v>0</v>
      </c>
      <c r="AX1294" s="1">
        <f t="shared" si="227"/>
        <v>0</v>
      </c>
    </row>
    <row r="1295" spans="1:50" s="1" customFormat="1" ht="24.95" customHeight="1" outlineLevel="3" x14ac:dyDescent="0.2">
      <c r="A1295" s="11"/>
      <c r="B1295" s="12">
        <v>940</v>
      </c>
      <c r="C1295" s="15">
        <v>1390</v>
      </c>
      <c r="D1295" s="12">
        <v>30716</v>
      </c>
      <c r="E1295" s="13" t="s">
        <v>4254</v>
      </c>
      <c r="F1295" s="13" t="s">
        <v>4255</v>
      </c>
      <c r="G1295" s="13" t="s">
        <v>97</v>
      </c>
      <c r="H1295" s="13" t="s">
        <v>40</v>
      </c>
      <c r="I1295" s="12">
        <v>2024</v>
      </c>
      <c r="J1295" s="13" t="s">
        <v>4256</v>
      </c>
      <c r="K1295" s="12">
        <v>9785206003369</v>
      </c>
      <c r="L1295" s="13" t="s">
        <v>4257</v>
      </c>
      <c r="M1295" s="12">
        <v>400</v>
      </c>
      <c r="N1295" s="14">
        <v>0.56000000000000005</v>
      </c>
      <c r="O1295" s="12">
        <v>150</v>
      </c>
      <c r="P1295" s="12">
        <v>220</v>
      </c>
      <c r="Q1295" s="12">
        <v>4</v>
      </c>
      <c r="R1295" s="13" t="s">
        <v>43</v>
      </c>
      <c r="S1295" s="13"/>
      <c r="T1295" s="15">
        <v>1500</v>
      </c>
      <c r="U1295" s="13" t="s">
        <v>52</v>
      </c>
      <c r="V1295" s="13" t="s">
        <v>59</v>
      </c>
      <c r="W1295" s="12">
        <v>10</v>
      </c>
      <c r="X1295" s="33" t="str">
        <f>HYPERLINK("https://www.alpinabook.ru/catalog/book-kak-prinyat-pravilnoe-upravlencheskoe-reshenie","ссылка на книгу")</f>
        <v>ссылка на книгу</v>
      </c>
      <c r="Y1295" s="34" t="str">
        <f>HYPERLINK("https://api-enni.alpina.ru/FilePrivilegesApproval/541","https://api-enni.alpina.ru/FilePrivilegesApproval/541")</f>
        <v>https://api-enni.alpina.ru/FilePrivilegesApproval/541</v>
      </c>
      <c r="Z1295" s="13"/>
      <c r="AT1295" s="1">
        <f t="shared" si="223"/>
        <v>0</v>
      </c>
      <c r="AU1295" s="1">
        <f t="shared" si="224"/>
        <v>0</v>
      </c>
      <c r="AV1295" s="1">
        <f t="shared" si="225"/>
        <v>0</v>
      </c>
      <c r="AW1295" s="1">
        <f t="shared" si="226"/>
        <v>0</v>
      </c>
      <c r="AX1295" s="1">
        <f t="shared" si="227"/>
        <v>0</v>
      </c>
    </row>
    <row r="1296" spans="1:50" s="1" customFormat="1" ht="24.95" customHeight="1" outlineLevel="3" x14ac:dyDescent="0.2">
      <c r="A1296" s="11"/>
      <c r="B1296" s="15">
        <v>1190</v>
      </c>
      <c r="C1296" s="15">
        <v>1190</v>
      </c>
      <c r="D1296" s="12">
        <v>7991</v>
      </c>
      <c r="E1296" s="13" t="s">
        <v>4258</v>
      </c>
      <c r="F1296" s="13" t="s">
        <v>4259</v>
      </c>
      <c r="G1296" s="13" t="s">
        <v>56</v>
      </c>
      <c r="H1296" s="13"/>
      <c r="I1296" s="12">
        <v>2025</v>
      </c>
      <c r="J1296" s="13" t="s">
        <v>4260</v>
      </c>
      <c r="K1296" s="12">
        <v>9785961466324</v>
      </c>
      <c r="L1296" s="13" t="s">
        <v>4261</v>
      </c>
      <c r="M1296" s="12">
        <v>328</v>
      </c>
      <c r="N1296" s="14">
        <v>0.78</v>
      </c>
      <c r="O1296" s="15">
        <v>168000</v>
      </c>
      <c r="P1296" s="12">
        <v>241</v>
      </c>
      <c r="Q1296" s="12">
        <v>6</v>
      </c>
      <c r="R1296" s="13" t="s">
        <v>94</v>
      </c>
      <c r="S1296" s="13"/>
      <c r="T1296" s="15">
        <v>1000</v>
      </c>
      <c r="U1296" s="13" t="s">
        <v>52</v>
      </c>
      <c r="V1296" s="13" t="s">
        <v>64</v>
      </c>
      <c r="W1296" s="12">
        <v>10</v>
      </c>
      <c r="X1296" s="33" t="str">
        <f>HYPERLINK("https://www.alpinabook.ru/catalog/book-kak-rabotat-v-rabochee-vremya","ссылка на книгу")</f>
        <v>ссылка на книгу</v>
      </c>
      <c r="Y1296" s="34" t="str">
        <f>HYPERLINK("https://api-enni.alpina.ru/FilePrivilegesApproval/2","https://api-enni.alpina.ru/FilePrivilegesApproval/2")</f>
        <v>https://api-enni.alpina.ru/FilePrivilegesApproval/2</v>
      </c>
      <c r="Z1296" s="13" t="s">
        <v>1222</v>
      </c>
      <c r="AT1296" s="1">
        <f t="shared" si="223"/>
        <v>0</v>
      </c>
      <c r="AU1296" s="1">
        <f t="shared" si="224"/>
        <v>0</v>
      </c>
      <c r="AV1296" s="1">
        <f t="shared" si="225"/>
        <v>0</v>
      </c>
      <c r="AW1296" s="1">
        <f t="shared" si="226"/>
        <v>0</v>
      </c>
      <c r="AX1296" s="1">
        <f t="shared" si="227"/>
        <v>0</v>
      </c>
    </row>
    <row r="1297" spans="1:50" s="1" customFormat="1" ht="24.95" customHeight="1" outlineLevel="3" x14ac:dyDescent="0.2">
      <c r="A1297" s="11"/>
      <c r="B1297" s="12">
        <v>990</v>
      </c>
      <c r="C1297" s="15">
        <v>1490</v>
      </c>
      <c r="D1297" s="12">
        <v>5291</v>
      </c>
      <c r="E1297" s="13" t="s">
        <v>4262</v>
      </c>
      <c r="F1297" s="13" t="s">
        <v>4263</v>
      </c>
      <c r="G1297" s="13" t="s">
        <v>56</v>
      </c>
      <c r="H1297" s="13" t="s">
        <v>40</v>
      </c>
      <c r="I1297" s="12">
        <v>2025</v>
      </c>
      <c r="J1297" s="13" t="s">
        <v>4264</v>
      </c>
      <c r="K1297" s="12">
        <v>9785961463972</v>
      </c>
      <c r="L1297" s="13" t="s">
        <v>4265</v>
      </c>
      <c r="M1297" s="12">
        <v>214</v>
      </c>
      <c r="N1297" s="14">
        <v>0.37</v>
      </c>
      <c r="O1297" s="12">
        <v>153</v>
      </c>
      <c r="P1297" s="12">
        <v>216</v>
      </c>
      <c r="Q1297" s="12">
        <v>8</v>
      </c>
      <c r="R1297" s="13" t="s">
        <v>43</v>
      </c>
      <c r="S1297" s="13"/>
      <c r="T1297" s="15">
        <v>1000</v>
      </c>
      <c r="U1297" s="13" t="s">
        <v>52</v>
      </c>
      <c r="V1297" s="13" t="s">
        <v>64</v>
      </c>
      <c r="W1297" s="12">
        <v>10</v>
      </c>
      <c r="X1297" s="33" t="str">
        <f>HYPERLINK("https://www.alpinabook.ru/catalog/book-kanban-i-tochno-vovremya-na-toyota","ссылка на книгу")</f>
        <v>ссылка на книгу</v>
      </c>
      <c r="Y1297" s="34" t="str">
        <f>HYPERLINK("https://api-enni.alpina.ru/FilePrivilegesApproval/2","https://api-enni.alpina.ru/FilePrivilegesApproval/2")</f>
        <v>https://api-enni.alpina.ru/FilePrivilegesApproval/2</v>
      </c>
      <c r="Z1297" s="13" t="s">
        <v>847</v>
      </c>
      <c r="AT1297" s="1">
        <f t="shared" si="223"/>
        <v>0</v>
      </c>
      <c r="AU1297" s="1">
        <f t="shared" si="224"/>
        <v>0</v>
      </c>
      <c r="AV1297" s="1">
        <f t="shared" si="225"/>
        <v>0</v>
      </c>
      <c r="AW1297" s="1">
        <f t="shared" si="226"/>
        <v>0</v>
      </c>
      <c r="AX1297" s="1">
        <f t="shared" si="227"/>
        <v>0</v>
      </c>
    </row>
    <row r="1298" spans="1:50" s="1" customFormat="1" ht="24.95" customHeight="1" outlineLevel="3" x14ac:dyDescent="0.2">
      <c r="A1298" s="11"/>
      <c r="B1298" s="12">
        <v>790</v>
      </c>
      <c r="C1298" s="12">
        <v>790</v>
      </c>
      <c r="D1298" s="12">
        <v>24227</v>
      </c>
      <c r="E1298" s="13" t="s">
        <v>4266</v>
      </c>
      <c r="F1298" s="13" t="s">
        <v>4267</v>
      </c>
      <c r="G1298" s="13" t="s">
        <v>97</v>
      </c>
      <c r="H1298" s="13" t="s">
        <v>40</v>
      </c>
      <c r="I1298" s="12">
        <v>2021</v>
      </c>
      <c r="J1298" s="13" t="s">
        <v>4268</v>
      </c>
      <c r="K1298" s="12">
        <v>9785907470583</v>
      </c>
      <c r="L1298" s="13" t="s">
        <v>4269</v>
      </c>
      <c r="M1298" s="12">
        <v>192</v>
      </c>
      <c r="N1298" s="14">
        <v>0.33</v>
      </c>
      <c r="O1298" s="12">
        <v>146</v>
      </c>
      <c r="P1298" s="12">
        <v>216</v>
      </c>
      <c r="Q1298" s="12">
        <v>12</v>
      </c>
      <c r="R1298" s="13" t="s">
        <v>43</v>
      </c>
      <c r="S1298" s="13"/>
      <c r="T1298" s="15">
        <v>1500</v>
      </c>
      <c r="U1298" s="13" t="s">
        <v>52</v>
      </c>
      <c r="V1298" s="13" t="s">
        <v>59</v>
      </c>
      <c r="W1298" s="12">
        <v>10</v>
      </c>
      <c r="X1298" s="33" t="str">
        <f>HYPERLINK("https://www.alpinabook.ru/catalog/book-kiberbezopasnost-pravila-igry","ссылка на книгу")</f>
        <v>ссылка на книгу</v>
      </c>
      <c r="Y1298" s="34" t="str">
        <f>HYPERLINK("https://api-enni.alpina.ru/FilePrivilegesApproval/129","https://api-enni.alpina.ru/FilePrivilegesApproval/129")</f>
        <v>https://api-enni.alpina.ru/FilePrivilegesApproval/129</v>
      </c>
      <c r="Z1298" s="13"/>
      <c r="AT1298" s="1">
        <f t="shared" si="223"/>
        <v>0</v>
      </c>
      <c r="AU1298" s="1">
        <f t="shared" si="224"/>
        <v>0</v>
      </c>
      <c r="AV1298" s="1">
        <f t="shared" si="225"/>
        <v>0</v>
      </c>
      <c r="AW1298" s="1">
        <f t="shared" si="226"/>
        <v>0</v>
      </c>
      <c r="AX1298" s="1">
        <f t="shared" si="227"/>
        <v>0</v>
      </c>
    </row>
    <row r="1299" spans="1:50" s="1" customFormat="1" ht="24.95" customHeight="1" outlineLevel="3" x14ac:dyDescent="0.2">
      <c r="A1299" s="11"/>
      <c r="B1299" s="12">
        <v>890</v>
      </c>
      <c r="C1299" s="12">
        <v>890</v>
      </c>
      <c r="D1299" s="12">
        <v>18525</v>
      </c>
      <c r="E1299" s="13" t="s">
        <v>4270</v>
      </c>
      <c r="F1299" s="13" t="s">
        <v>4271</v>
      </c>
      <c r="G1299" s="13" t="s">
        <v>97</v>
      </c>
      <c r="H1299" s="13" t="s">
        <v>40</v>
      </c>
      <c r="I1299" s="12">
        <v>2021</v>
      </c>
      <c r="J1299" s="13" t="s">
        <v>4272</v>
      </c>
      <c r="K1299" s="12">
        <v>9785907274914</v>
      </c>
      <c r="L1299" s="13" t="s">
        <v>4273</v>
      </c>
      <c r="M1299" s="12">
        <v>232</v>
      </c>
      <c r="N1299" s="14">
        <v>0.5</v>
      </c>
      <c r="O1299" s="12">
        <v>168</v>
      </c>
      <c r="P1299" s="12">
        <v>241</v>
      </c>
      <c r="Q1299" s="12">
        <v>7</v>
      </c>
      <c r="R1299" s="13" t="s">
        <v>94</v>
      </c>
      <c r="S1299" s="13"/>
      <c r="T1299" s="15">
        <v>4000</v>
      </c>
      <c r="U1299" s="13" t="s">
        <v>52</v>
      </c>
      <c r="V1299" s="13" t="s">
        <v>59</v>
      </c>
      <c r="W1299" s="12">
        <v>10</v>
      </c>
      <c r="X1299" s="33" t="str">
        <f>HYPERLINK("https://www.alpinabook.ru/catalog/book-669166","ссылка на книгу")</f>
        <v>ссылка на книгу</v>
      </c>
      <c r="Y1299" s="34" t="str">
        <f>HYPERLINK("https://api-enni.alpina.ru/FilePrivilegesApproval/199","https://api-enni.alpina.ru/FilePrivilegesApproval/199")</f>
        <v>https://api-enni.alpina.ru/FilePrivilegesApproval/199</v>
      </c>
      <c r="Z1299" s="13"/>
      <c r="AT1299" s="1">
        <f t="shared" si="223"/>
        <v>0</v>
      </c>
      <c r="AU1299" s="1">
        <f t="shared" si="224"/>
        <v>0</v>
      </c>
      <c r="AV1299" s="1">
        <f t="shared" si="225"/>
        <v>0</v>
      </c>
      <c r="AW1299" s="1">
        <f t="shared" si="226"/>
        <v>0</v>
      </c>
      <c r="AX1299" s="1">
        <f t="shared" si="227"/>
        <v>0</v>
      </c>
    </row>
    <row r="1300" spans="1:50" s="1" customFormat="1" ht="24.95" customHeight="1" outlineLevel="3" x14ac:dyDescent="0.2">
      <c r="A1300" s="11"/>
      <c r="B1300" s="15">
        <v>1610</v>
      </c>
      <c r="C1300" s="15">
        <v>1610</v>
      </c>
      <c r="D1300" s="12">
        <v>4074</v>
      </c>
      <c r="E1300" s="13" t="s">
        <v>4274</v>
      </c>
      <c r="F1300" s="13" t="s">
        <v>4275</v>
      </c>
      <c r="G1300" s="13" t="s">
        <v>56</v>
      </c>
      <c r="H1300" s="13" t="s">
        <v>164</v>
      </c>
      <c r="I1300" s="11"/>
      <c r="J1300" s="13" t="s">
        <v>4276</v>
      </c>
      <c r="K1300" s="12">
        <v>9785961446272</v>
      </c>
      <c r="L1300" s="13" t="s">
        <v>4277</v>
      </c>
      <c r="M1300" s="12">
        <v>368</v>
      </c>
      <c r="N1300" s="14">
        <v>0.7</v>
      </c>
      <c r="O1300" s="12">
        <v>168</v>
      </c>
      <c r="P1300" s="12">
        <v>241</v>
      </c>
      <c r="Q1300" s="12">
        <v>6</v>
      </c>
      <c r="R1300" s="13" t="s">
        <v>94</v>
      </c>
      <c r="S1300" s="13"/>
      <c r="T1300" s="15">
        <v>1524</v>
      </c>
      <c r="U1300" s="13" t="s">
        <v>52</v>
      </c>
      <c r="V1300" s="13" t="s">
        <v>64</v>
      </c>
      <c r="W1300" s="12">
        <v>10</v>
      </c>
      <c r="X1300" s="33" t="str">
        <f>HYPERLINK("https://www.alpinabook.ru/catalog/book-8486","ссылка на книгу")</f>
        <v>ссылка на книгу</v>
      </c>
      <c r="Y1300" s="34" t="str">
        <f>HYPERLINK("https://api-enni.alpina.ru/FilePrivilegesApproval/2","https://api-enni.alpina.ru/FilePrivilegesApproval/2")</f>
        <v>https://api-enni.alpina.ru/FilePrivilegesApproval/2</v>
      </c>
      <c r="Z1300" s="13"/>
      <c r="AT1300" s="1">
        <f t="shared" si="223"/>
        <v>0</v>
      </c>
      <c r="AU1300" s="1">
        <f t="shared" si="224"/>
        <v>0</v>
      </c>
      <c r="AV1300" s="1">
        <f t="shared" si="225"/>
        <v>0</v>
      </c>
      <c r="AW1300" s="1">
        <f t="shared" si="226"/>
        <v>0</v>
      </c>
      <c r="AX1300" s="1">
        <f t="shared" si="227"/>
        <v>0</v>
      </c>
    </row>
    <row r="1301" spans="1:50" s="1" customFormat="1" ht="24.95" customHeight="1" outlineLevel="3" x14ac:dyDescent="0.2">
      <c r="A1301" s="11"/>
      <c r="B1301" s="12">
        <v>690</v>
      </c>
      <c r="C1301" s="12">
        <v>690</v>
      </c>
      <c r="D1301" s="12">
        <v>22876</v>
      </c>
      <c r="E1301" s="13" t="s">
        <v>4278</v>
      </c>
      <c r="F1301" s="13" t="s">
        <v>4279</v>
      </c>
      <c r="G1301" s="13" t="s">
        <v>97</v>
      </c>
      <c r="H1301" s="13"/>
      <c r="I1301" s="12">
        <v>2021</v>
      </c>
      <c r="J1301" s="13" t="s">
        <v>4280</v>
      </c>
      <c r="K1301" s="12">
        <v>9785907394858</v>
      </c>
      <c r="L1301" s="13" t="s">
        <v>4281</v>
      </c>
      <c r="M1301" s="12">
        <v>208</v>
      </c>
      <c r="N1301" s="14">
        <v>0.35</v>
      </c>
      <c r="O1301" s="12">
        <v>146</v>
      </c>
      <c r="P1301" s="12">
        <v>216</v>
      </c>
      <c r="Q1301" s="12">
        <v>12</v>
      </c>
      <c r="R1301" s="13" t="s">
        <v>43</v>
      </c>
      <c r="S1301" s="13"/>
      <c r="T1301" s="15">
        <v>1200</v>
      </c>
      <c r="U1301" s="13" t="s">
        <v>52</v>
      </c>
      <c r="V1301" s="13" t="s">
        <v>59</v>
      </c>
      <c r="W1301" s="12">
        <v>10</v>
      </c>
      <c r="X1301" s="33" t="str">
        <f>HYPERLINK("https://www.alpinabook.ru/catalog/book-716339","ссылка на книгу")</f>
        <v>ссылка на книгу</v>
      </c>
      <c r="Y1301" s="34" t="str">
        <f>HYPERLINK("https://api-enni.alpina.ru/FilePrivilegesApproval/114","https://api-enni.alpina.ru/FilePrivilegesApproval/114")</f>
        <v>https://api-enni.alpina.ru/FilePrivilegesApproval/114</v>
      </c>
      <c r="Z1301" s="13"/>
      <c r="AT1301" s="1">
        <f t="shared" si="223"/>
        <v>0</v>
      </c>
      <c r="AU1301" s="1">
        <f t="shared" si="224"/>
        <v>0</v>
      </c>
      <c r="AV1301" s="1">
        <f t="shared" si="225"/>
        <v>0</v>
      </c>
      <c r="AW1301" s="1">
        <f t="shared" si="226"/>
        <v>0</v>
      </c>
      <c r="AX1301" s="1">
        <f t="shared" si="227"/>
        <v>0</v>
      </c>
    </row>
    <row r="1302" spans="1:50" s="1" customFormat="1" ht="24.95" customHeight="1" outlineLevel="3" x14ac:dyDescent="0.2">
      <c r="A1302" s="11"/>
      <c r="B1302" s="12">
        <v>690</v>
      </c>
      <c r="C1302" s="12">
        <v>990</v>
      </c>
      <c r="D1302" s="12">
        <v>26989</v>
      </c>
      <c r="E1302" s="13" t="s">
        <v>4282</v>
      </c>
      <c r="F1302" s="13" t="s">
        <v>4283</v>
      </c>
      <c r="G1302" s="13" t="s">
        <v>56</v>
      </c>
      <c r="H1302" s="13" t="s">
        <v>40</v>
      </c>
      <c r="I1302" s="12">
        <v>2025</v>
      </c>
      <c r="J1302" s="13" t="s">
        <v>4284</v>
      </c>
      <c r="K1302" s="12">
        <v>9785961483635</v>
      </c>
      <c r="L1302" s="13" t="s">
        <v>4285</v>
      </c>
      <c r="M1302" s="12">
        <v>344</v>
      </c>
      <c r="N1302" s="14">
        <v>0.54</v>
      </c>
      <c r="O1302" s="12">
        <v>170</v>
      </c>
      <c r="P1302" s="12">
        <v>240</v>
      </c>
      <c r="Q1302" s="12">
        <v>7</v>
      </c>
      <c r="R1302" s="13" t="s">
        <v>94</v>
      </c>
      <c r="S1302" s="13"/>
      <c r="T1302" s="15">
        <v>1500</v>
      </c>
      <c r="U1302" s="13" t="s">
        <v>44</v>
      </c>
      <c r="V1302" s="13" t="s">
        <v>269</v>
      </c>
      <c r="W1302" s="12">
        <v>10</v>
      </c>
      <c r="X1302" s="33" t="str">
        <f>HYPERLINK("https://www.alpinabook.ru/catalog/book-korporatsiya-geniev","ссылка на книгу")</f>
        <v>ссылка на книгу</v>
      </c>
      <c r="Y1302" s="34" t="str">
        <f>HYPERLINK("https://api-enni.alpina.ru/FilePrivilegesApproval/164","https://api-enni.alpina.ru/FilePrivilegesApproval/164")</f>
        <v>https://api-enni.alpina.ru/FilePrivilegesApproval/164</v>
      </c>
      <c r="Z1302" s="13"/>
      <c r="AT1302" s="1">
        <f t="shared" si="223"/>
        <v>0</v>
      </c>
      <c r="AU1302" s="1">
        <f t="shared" si="224"/>
        <v>0</v>
      </c>
      <c r="AV1302" s="1">
        <f t="shared" si="225"/>
        <v>0</v>
      </c>
      <c r="AW1302" s="1">
        <f t="shared" si="226"/>
        <v>0</v>
      </c>
      <c r="AX1302" s="1">
        <f t="shared" si="227"/>
        <v>0</v>
      </c>
    </row>
    <row r="1303" spans="1:50" s="1" customFormat="1" ht="24.95" customHeight="1" outlineLevel="3" x14ac:dyDescent="0.2">
      <c r="A1303" s="11"/>
      <c r="B1303" s="12">
        <v>590</v>
      </c>
      <c r="C1303" s="12">
        <v>840</v>
      </c>
      <c r="D1303" s="12">
        <v>21206</v>
      </c>
      <c r="E1303" s="13" t="s">
        <v>4286</v>
      </c>
      <c r="F1303" s="13" t="s">
        <v>4287</v>
      </c>
      <c r="G1303" s="13" t="s">
        <v>56</v>
      </c>
      <c r="H1303" s="13" t="s">
        <v>40</v>
      </c>
      <c r="I1303" s="12">
        <v>2023</v>
      </c>
      <c r="J1303" s="13" t="s">
        <v>4288</v>
      </c>
      <c r="K1303" s="12">
        <v>9785961442595</v>
      </c>
      <c r="L1303" s="13" t="s">
        <v>4289</v>
      </c>
      <c r="M1303" s="12">
        <v>328</v>
      </c>
      <c r="N1303" s="14">
        <v>0.5</v>
      </c>
      <c r="O1303" s="12">
        <v>150</v>
      </c>
      <c r="P1303" s="12">
        <v>220</v>
      </c>
      <c r="Q1303" s="12">
        <v>12</v>
      </c>
      <c r="R1303" s="13" t="s">
        <v>43</v>
      </c>
      <c r="S1303" s="13"/>
      <c r="T1303" s="15">
        <v>2000</v>
      </c>
      <c r="U1303" s="13" t="s">
        <v>52</v>
      </c>
      <c r="V1303" s="13" t="s">
        <v>45</v>
      </c>
      <c r="W1303" s="12">
        <v>10</v>
      </c>
      <c r="X1303" s="33" t="str">
        <f>HYPERLINK("https://www.alpinabook.ru/catalog/book-lider-bez-predrassudkov","ссылка на книгу")</f>
        <v>ссылка на книгу</v>
      </c>
      <c r="Y1303" s="34" t="str">
        <f>HYPERLINK("https://api-enni.alpina.ru/FilePrivilegesApproval/177","https://api-enni.alpina.ru/FilePrivilegesApproval/177")</f>
        <v>https://api-enni.alpina.ru/FilePrivilegesApproval/177</v>
      </c>
      <c r="Z1303" s="13"/>
      <c r="AT1303" s="1">
        <f t="shared" si="223"/>
        <v>0</v>
      </c>
      <c r="AU1303" s="1">
        <f t="shared" si="224"/>
        <v>0</v>
      </c>
      <c r="AV1303" s="1">
        <f t="shared" si="225"/>
        <v>0</v>
      </c>
      <c r="AW1303" s="1">
        <f t="shared" si="226"/>
        <v>0</v>
      </c>
      <c r="AX1303" s="1">
        <f t="shared" si="227"/>
        <v>0</v>
      </c>
    </row>
    <row r="1304" spans="1:50" s="1" customFormat="1" ht="24.95" customHeight="1" outlineLevel="3" x14ac:dyDescent="0.2">
      <c r="A1304" s="11"/>
      <c r="B1304" s="12">
        <v>510</v>
      </c>
      <c r="C1304" s="12">
        <v>790</v>
      </c>
      <c r="D1304" s="12">
        <v>7709</v>
      </c>
      <c r="E1304" s="13" t="s">
        <v>510</v>
      </c>
      <c r="F1304" s="13" t="s">
        <v>511</v>
      </c>
      <c r="G1304" s="13" t="s">
        <v>56</v>
      </c>
      <c r="H1304" s="13"/>
      <c r="I1304" s="12">
        <v>2025</v>
      </c>
      <c r="J1304" s="13" t="s">
        <v>512</v>
      </c>
      <c r="K1304" s="12">
        <v>9785961470192</v>
      </c>
      <c r="L1304" s="13" t="s">
        <v>513</v>
      </c>
      <c r="M1304" s="12">
        <v>184</v>
      </c>
      <c r="N1304" s="14">
        <v>0.32</v>
      </c>
      <c r="O1304" s="12">
        <v>150</v>
      </c>
      <c r="P1304" s="12">
        <v>220</v>
      </c>
      <c r="Q1304" s="12">
        <v>10</v>
      </c>
      <c r="R1304" s="13" t="s">
        <v>43</v>
      </c>
      <c r="S1304" s="13"/>
      <c r="T1304" s="15">
        <v>1000</v>
      </c>
      <c r="U1304" s="13" t="s">
        <v>52</v>
      </c>
      <c r="V1304" s="13" t="s">
        <v>64</v>
      </c>
      <c r="W1304" s="12">
        <v>10</v>
      </c>
      <c r="X1304" s="33" t="str">
        <f>HYPERLINK("https://www.alpinabook.ru/catalog/book-lovushki-upravleniya","ссылка на книгу")</f>
        <v>ссылка на книгу</v>
      </c>
      <c r="Y1304" s="34" t="str">
        <f>HYPERLINK("https://api-enni.alpina.ru/FilePrivilegesApproval/2","https://api-enni.alpina.ru/FilePrivilegesApproval/2")</f>
        <v>https://api-enni.alpina.ru/FilePrivilegesApproval/2</v>
      </c>
      <c r="Z1304" s="13" t="s">
        <v>282</v>
      </c>
      <c r="AT1304" s="1">
        <f t="shared" si="223"/>
        <v>0</v>
      </c>
      <c r="AU1304" s="1">
        <f t="shared" si="224"/>
        <v>0</v>
      </c>
      <c r="AV1304" s="1">
        <f t="shared" si="225"/>
        <v>0</v>
      </c>
      <c r="AW1304" s="1">
        <f t="shared" si="226"/>
        <v>0</v>
      </c>
      <c r="AX1304" s="1">
        <f t="shared" si="227"/>
        <v>0</v>
      </c>
    </row>
    <row r="1305" spans="1:50" s="1" customFormat="1" ht="24.95" customHeight="1" outlineLevel="3" x14ac:dyDescent="0.2">
      <c r="A1305" s="11"/>
      <c r="B1305" s="15">
        <v>1290</v>
      </c>
      <c r="C1305" s="15">
        <v>1790</v>
      </c>
      <c r="D1305" s="12">
        <v>6246</v>
      </c>
      <c r="E1305" s="13" t="s">
        <v>4258</v>
      </c>
      <c r="F1305" s="13" t="s">
        <v>4290</v>
      </c>
      <c r="G1305" s="13" t="s">
        <v>56</v>
      </c>
      <c r="H1305" s="13"/>
      <c r="I1305" s="12">
        <v>2025</v>
      </c>
      <c r="J1305" s="13" t="s">
        <v>4291</v>
      </c>
      <c r="K1305" s="12">
        <v>9785961470338</v>
      </c>
      <c r="L1305" s="13" t="s">
        <v>4292</v>
      </c>
      <c r="M1305" s="12">
        <v>312</v>
      </c>
      <c r="N1305" s="14">
        <v>0.63</v>
      </c>
      <c r="O1305" s="12">
        <v>171</v>
      </c>
      <c r="P1305" s="12">
        <v>241</v>
      </c>
      <c r="Q1305" s="12">
        <v>6</v>
      </c>
      <c r="R1305" s="13" t="s">
        <v>94</v>
      </c>
      <c r="S1305" s="13"/>
      <c r="T1305" s="15">
        <v>1000</v>
      </c>
      <c r="U1305" s="13" t="s">
        <v>52</v>
      </c>
      <c r="V1305" s="13" t="s">
        <v>64</v>
      </c>
      <c r="W1305" s="12">
        <v>10</v>
      </c>
      <c r="X1305" s="33" t="str">
        <f>HYPERLINK("https://www.alpinabook.ru/catalog/book-maynd-menedzhment","ссылка на книгу")</f>
        <v>ссылка на книгу</v>
      </c>
      <c r="Y1305" s="34" t="str">
        <f>HYPERLINK("https://api-enni.alpina.ru/FilePrivilegesApproval/2","https://api-enni.alpina.ru/FilePrivilegesApproval/2")</f>
        <v>https://api-enni.alpina.ru/FilePrivilegesApproval/2</v>
      </c>
      <c r="Z1305" s="13" t="s">
        <v>1222</v>
      </c>
      <c r="AT1305" s="1">
        <f t="shared" si="223"/>
        <v>0</v>
      </c>
      <c r="AU1305" s="1">
        <f t="shared" si="224"/>
        <v>0</v>
      </c>
      <c r="AV1305" s="1">
        <f t="shared" si="225"/>
        <v>0</v>
      </c>
      <c r="AW1305" s="1">
        <f t="shared" si="226"/>
        <v>0</v>
      </c>
      <c r="AX1305" s="1">
        <f t="shared" si="227"/>
        <v>0</v>
      </c>
    </row>
    <row r="1306" spans="1:50" s="1" customFormat="1" ht="24.95" customHeight="1" outlineLevel="3" x14ac:dyDescent="0.2">
      <c r="A1306" s="11"/>
      <c r="B1306" s="12">
        <v>790</v>
      </c>
      <c r="C1306" s="15">
        <v>1190</v>
      </c>
      <c r="D1306" s="12">
        <v>8503</v>
      </c>
      <c r="E1306" s="13" t="s">
        <v>546</v>
      </c>
      <c r="F1306" s="13" t="s">
        <v>547</v>
      </c>
      <c r="G1306" s="13" t="s">
        <v>56</v>
      </c>
      <c r="H1306" s="13" t="s">
        <v>40</v>
      </c>
      <c r="I1306" s="12">
        <v>2025</v>
      </c>
      <c r="J1306" s="13" t="s">
        <v>548</v>
      </c>
      <c r="K1306" s="12">
        <v>9785961412444</v>
      </c>
      <c r="L1306" s="13" t="s">
        <v>549</v>
      </c>
      <c r="M1306" s="12">
        <v>182</v>
      </c>
      <c r="N1306" s="14">
        <v>0.43</v>
      </c>
      <c r="O1306" s="12">
        <v>171</v>
      </c>
      <c r="P1306" s="12">
        <v>241</v>
      </c>
      <c r="Q1306" s="12">
        <v>10</v>
      </c>
      <c r="R1306" s="13" t="s">
        <v>94</v>
      </c>
      <c r="S1306" s="13"/>
      <c r="T1306" s="15">
        <v>1000</v>
      </c>
      <c r="U1306" s="13" t="s">
        <v>52</v>
      </c>
      <c r="V1306" s="13" t="s">
        <v>45</v>
      </c>
      <c r="W1306" s="12">
        <v>10</v>
      </c>
      <c r="X1306" s="33" t="str">
        <f>HYPERLINK("https://www.alpinabook.ru/catalog/book-menedzhment-novogo-vremeni","ссылка на книгу")</f>
        <v>ссылка на книгу</v>
      </c>
      <c r="Y1306" s="34" t="str">
        <f>HYPERLINK("https://api-enni.alpina.ru/FilePrivilegesApproval/2","https://api-enni.alpina.ru/FilePrivilegesApproval/2")</f>
        <v>https://api-enni.alpina.ru/FilePrivilegesApproval/2</v>
      </c>
      <c r="Z1306" s="13" t="s">
        <v>282</v>
      </c>
      <c r="AT1306" s="1">
        <f t="shared" si="223"/>
        <v>0</v>
      </c>
      <c r="AU1306" s="1">
        <f t="shared" si="224"/>
        <v>0</v>
      </c>
      <c r="AV1306" s="1">
        <f t="shared" si="225"/>
        <v>0</v>
      </c>
      <c r="AW1306" s="1">
        <f t="shared" si="226"/>
        <v>0</v>
      </c>
      <c r="AX1306" s="1">
        <f t="shared" si="227"/>
        <v>0</v>
      </c>
    </row>
    <row r="1307" spans="1:50" s="1" customFormat="1" ht="24.95" customHeight="1" outlineLevel="3" x14ac:dyDescent="0.2">
      <c r="A1307" s="11"/>
      <c r="B1307" s="15">
        <v>1290</v>
      </c>
      <c r="C1307" s="15">
        <v>1790</v>
      </c>
      <c r="D1307" s="12">
        <v>23104</v>
      </c>
      <c r="E1307" s="13" t="s">
        <v>4293</v>
      </c>
      <c r="F1307" s="13" t="s">
        <v>4294</v>
      </c>
      <c r="G1307" s="13" t="s">
        <v>97</v>
      </c>
      <c r="H1307" s="13" t="s">
        <v>40</v>
      </c>
      <c r="I1307" s="12">
        <v>2024</v>
      </c>
      <c r="J1307" s="13" t="s">
        <v>4295</v>
      </c>
      <c r="K1307" s="12">
        <v>9785907394797</v>
      </c>
      <c r="L1307" s="13" t="s">
        <v>4296</v>
      </c>
      <c r="M1307" s="12">
        <v>626</v>
      </c>
      <c r="N1307" s="14">
        <v>0.84</v>
      </c>
      <c r="O1307" s="12">
        <v>150</v>
      </c>
      <c r="P1307" s="12">
        <v>220</v>
      </c>
      <c r="Q1307" s="12">
        <v>5</v>
      </c>
      <c r="R1307" s="13" t="s">
        <v>43</v>
      </c>
      <c r="S1307" s="13"/>
      <c r="T1307" s="15">
        <v>1000</v>
      </c>
      <c r="U1307" s="13" t="s">
        <v>52</v>
      </c>
      <c r="V1307" s="13" t="s">
        <v>59</v>
      </c>
      <c r="W1307" s="12">
        <v>10</v>
      </c>
      <c r="X1307" s="33" t="str">
        <f>HYPERLINK("https://www.alpinabook.ru/catalog/book-menedzhment","ссылка на книгу")</f>
        <v>ссылка на книгу</v>
      </c>
      <c r="Y1307" s="34" t="str">
        <f>HYPERLINK("https://api-enni.alpina.ru/FilePrivilegesApproval/120","https://api-enni.alpina.ru/FilePrivilegesApproval/120")</f>
        <v>https://api-enni.alpina.ru/FilePrivilegesApproval/120</v>
      </c>
      <c r="Z1307" s="13" t="s">
        <v>53</v>
      </c>
      <c r="AT1307" s="1">
        <f t="shared" si="223"/>
        <v>0</v>
      </c>
      <c r="AU1307" s="1">
        <f t="shared" si="224"/>
        <v>0</v>
      </c>
      <c r="AV1307" s="1">
        <f t="shared" si="225"/>
        <v>0</v>
      </c>
      <c r="AW1307" s="1">
        <f t="shared" si="226"/>
        <v>0</v>
      </c>
      <c r="AX1307" s="1">
        <f t="shared" si="227"/>
        <v>0</v>
      </c>
    </row>
    <row r="1308" spans="1:50" s="1" customFormat="1" ht="24.95" customHeight="1" outlineLevel="3" x14ac:dyDescent="0.2">
      <c r="A1308" s="11"/>
      <c r="B1308" s="12">
        <v>590</v>
      </c>
      <c r="C1308" s="12">
        <v>840</v>
      </c>
      <c r="D1308" s="12">
        <v>30686</v>
      </c>
      <c r="E1308" s="13" t="s">
        <v>4297</v>
      </c>
      <c r="F1308" s="13" t="s">
        <v>4298</v>
      </c>
      <c r="G1308" s="13" t="s">
        <v>56</v>
      </c>
      <c r="H1308" s="13"/>
      <c r="I1308" s="12">
        <v>2025</v>
      </c>
      <c r="J1308" s="13" t="s">
        <v>4299</v>
      </c>
      <c r="K1308" s="12">
        <v>9785961496253</v>
      </c>
      <c r="L1308" s="13" t="s">
        <v>4300</v>
      </c>
      <c r="M1308" s="12">
        <v>336</v>
      </c>
      <c r="N1308" s="14">
        <v>0.4</v>
      </c>
      <c r="O1308" s="12">
        <v>140</v>
      </c>
      <c r="P1308" s="12">
        <v>210</v>
      </c>
      <c r="Q1308" s="12">
        <v>6</v>
      </c>
      <c r="R1308" s="13" t="s">
        <v>43</v>
      </c>
      <c r="S1308" s="13"/>
      <c r="T1308" s="15">
        <v>1000</v>
      </c>
      <c r="U1308" s="13" t="s">
        <v>44</v>
      </c>
      <c r="V1308" s="13" t="s">
        <v>64</v>
      </c>
      <c r="W1308" s="12">
        <v>10</v>
      </c>
      <c r="X1308" s="33" t="str">
        <f>HYPERLINK("https://www.alpinabook.ru/catalog/book-nauka-pobezhdat","ссылка на книгу")</f>
        <v>ссылка на книгу</v>
      </c>
      <c r="Y1308" s="34" t="str">
        <f>HYPERLINK("https://api-enni.alpina.ru/FilePrivilegesApproval/25","https://api-enni.alpina.ru/FilePrivilegesApproval/25")</f>
        <v>https://api-enni.alpina.ru/FilePrivilegesApproval/25</v>
      </c>
      <c r="Z1308" s="13" t="s">
        <v>847</v>
      </c>
      <c r="AT1308" s="1">
        <f t="shared" si="223"/>
        <v>0</v>
      </c>
      <c r="AU1308" s="1">
        <f t="shared" si="224"/>
        <v>0</v>
      </c>
      <c r="AV1308" s="1">
        <f t="shared" si="225"/>
        <v>0</v>
      </c>
      <c r="AW1308" s="1">
        <f t="shared" si="226"/>
        <v>0</v>
      </c>
      <c r="AX1308" s="1">
        <f t="shared" si="227"/>
        <v>0</v>
      </c>
    </row>
    <row r="1309" spans="1:50" s="1" customFormat="1" ht="24.95" customHeight="1" outlineLevel="3" x14ac:dyDescent="0.2">
      <c r="A1309" s="11"/>
      <c r="B1309" s="15">
        <v>1990</v>
      </c>
      <c r="C1309" s="15">
        <v>2590</v>
      </c>
      <c r="D1309" s="12">
        <v>23390</v>
      </c>
      <c r="E1309" s="13" t="s">
        <v>4301</v>
      </c>
      <c r="F1309" s="13" t="s">
        <v>4302</v>
      </c>
      <c r="G1309" s="13" t="s">
        <v>97</v>
      </c>
      <c r="H1309" s="13"/>
      <c r="I1309" s="12">
        <v>2024</v>
      </c>
      <c r="J1309" s="13" t="s">
        <v>4303</v>
      </c>
      <c r="K1309" s="12">
        <v>9785206000047</v>
      </c>
      <c r="L1309" s="13" t="s">
        <v>4304</v>
      </c>
      <c r="M1309" s="12">
        <v>504</v>
      </c>
      <c r="N1309" s="14">
        <v>1.44</v>
      </c>
      <c r="O1309" s="12">
        <v>210</v>
      </c>
      <c r="P1309" s="12">
        <v>270</v>
      </c>
      <c r="Q1309" s="12">
        <v>4</v>
      </c>
      <c r="R1309" s="13" t="s">
        <v>300</v>
      </c>
      <c r="S1309" s="13"/>
      <c r="T1309" s="15">
        <v>3000</v>
      </c>
      <c r="U1309" s="13" t="s">
        <v>52</v>
      </c>
      <c r="V1309" s="13" t="s">
        <v>59</v>
      </c>
      <c r="W1309" s="12">
        <v>10</v>
      </c>
      <c r="X1309" s="33" t="str">
        <f>HYPERLINK("https://www.alpinabook.ru/catalog/book-dmpatterns","ссылка на книгу")</f>
        <v>ссылка на книгу</v>
      </c>
      <c r="Y1309" s="34" t="str">
        <f>HYPERLINK("https://api-enni.alpina.ru/FilePrivilegesApproval/168","https://api-enni.alpina.ru/FilePrivilegesApproval/168")</f>
        <v>https://api-enni.alpina.ru/FilePrivilegesApproval/168</v>
      </c>
      <c r="Z1309" s="13"/>
      <c r="AT1309" s="1">
        <f t="shared" ref="AT1309:AT1332" si="228">IF($A1309&lt;&gt;0,1,0)</f>
        <v>0</v>
      </c>
      <c r="AU1309" s="1">
        <f t="shared" ref="AU1309:AU1332" si="229">$A1309*$B1309</f>
        <v>0</v>
      </c>
      <c r="AV1309" s="1">
        <f t="shared" ref="AV1309:AV1332" si="230">$A1309*$N1309</f>
        <v>0</v>
      </c>
      <c r="AW1309" s="1">
        <f t="shared" ref="AW1309:AW1332" si="231">IF($Q1309=0,0,INT($A1309/$Q1309))</f>
        <v>0</v>
      </c>
      <c r="AX1309" s="1">
        <f t="shared" ref="AX1309:AX1332" si="232">$A1309-$AW1309*$Q1309</f>
        <v>0</v>
      </c>
    </row>
    <row r="1310" spans="1:50" s="1" customFormat="1" ht="24.95" customHeight="1" outlineLevel="3" x14ac:dyDescent="0.2">
      <c r="A1310" s="11"/>
      <c r="B1310" s="12">
        <v>690</v>
      </c>
      <c r="C1310" s="12">
        <v>690</v>
      </c>
      <c r="D1310" s="12">
        <v>8994</v>
      </c>
      <c r="E1310" s="13" t="s">
        <v>4305</v>
      </c>
      <c r="F1310" s="13" t="s">
        <v>4306</v>
      </c>
      <c r="G1310" s="13" t="s">
        <v>56</v>
      </c>
      <c r="H1310" s="13" t="s">
        <v>40</v>
      </c>
      <c r="I1310" s="12">
        <v>2020</v>
      </c>
      <c r="J1310" s="13" t="s">
        <v>4307</v>
      </c>
      <c r="K1310" s="12">
        <v>9785961430943</v>
      </c>
      <c r="L1310" s="13" t="s">
        <v>4308</v>
      </c>
      <c r="M1310" s="12">
        <v>400</v>
      </c>
      <c r="N1310" s="14">
        <v>0.91</v>
      </c>
      <c r="O1310" s="12">
        <v>168</v>
      </c>
      <c r="P1310" s="12">
        <v>241</v>
      </c>
      <c r="Q1310" s="12">
        <v>6</v>
      </c>
      <c r="R1310" s="13" t="s">
        <v>94</v>
      </c>
      <c r="S1310" s="13"/>
      <c r="T1310" s="15">
        <v>2500</v>
      </c>
      <c r="U1310" s="13" t="s">
        <v>52</v>
      </c>
      <c r="V1310" s="13" t="s">
        <v>64</v>
      </c>
      <c r="W1310" s="12">
        <v>10</v>
      </c>
      <c r="X1310" s="33" t="str">
        <f>HYPERLINK("https://www.alpinabook.ru/catalog/book-594133","ссылка на книгу")</f>
        <v>ссылка на книгу</v>
      </c>
      <c r="Y1310" s="34" t="str">
        <f>HYPERLINK("https://api-enni.alpina.ru/FilePrivilegesApproval/35","https://api-enni.alpina.ru/FilePrivilegesApproval/35")</f>
        <v>https://api-enni.alpina.ru/FilePrivilegesApproval/35</v>
      </c>
      <c r="Z1310" s="13"/>
      <c r="AT1310" s="1">
        <f t="shared" si="228"/>
        <v>0</v>
      </c>
      <c r="AU1310" s="1">
        <f t="shared" si="229"/>
        <v>0</v>
      </c>
      <c r="AV1310" s="1">
        <f t="shared" si="230"/>
        <v>0</v>
      </c>
      <c r="AW1310" s="1">
        <f t="shared" si="231"/>
        <v>0</v>
      </c>
      <c r="AX1310" s="1">
        <f t="shared" si="232"/>
        <v>0</v>
      </c>
    </row>
    <row r="1311" spans="1:50" s="1" customFormat="1" ht="24.95" customHeight="1" outlineLevel="3" x14ac:dyDescent="0.2">
      <c r="A1311" s="11"/>
      <c r="B1311" s="12">
        <v>640</v>
      </c>
      <c r="C1311" s="12">
        <v>940</v>
      </c>
      <c r="D1311" s="12">
        <v>5893</v>
      </c>
      <c r="E1311" s="13" t="s">
        <v>667</v>
      </c>
      <c r="F1311" s="13" t="s">
        <v>674</v>
      </c>
      <c r="G1311" s="13" t="s">
        <v>56</v>
      </c>
      <c r="H1311" s="13" t="s">
        <v>40</v>
      </c>
      <c r="I1311" s="12">
        <v>2025</v>
      </c>
      <c r="J1311" s="13" t="s">
        <v>675</v>
      </c>
      <c r="K1311" s="12">
        <v>9785961461497</v>
      </c>
      <c r="L1311" s="13" t="s">
        <v>676</v>
      </c>
      <c r="M1311" s="12">
        <v>234</v>
      </c>
      <c r="N1311" s="14">
        <v>0.39</v>
      </c>
      <c r="O1311" s="12">
        <v>153</v>
      </c>
      <c r="P1311" s="12">
        <v>216</v>
      </c>
      <c r="Q1311" s="12">
        <v>7</v>
      </c>
      <c r="R1311" s="13" t="s">
        <v>43</v>
      </c>
      <c r="S1311" s="13"/>
      <c r="T1311" s="15">
        <v>1000</v>
      </c>
      <c r="U1311" s="13" t="s">
        <v>52</v>
      </c>
      <c r="V1311" s="13" t="s">
        <v>64</v>
      </c>
      <c r="W1311" s="12">
        <v>10</v>
      </c>
      <c r="X1311" s="33" t="str">
        <f>HYPERLINK("https://www.alpinabook.ru/catalog/book-pravila-menedzhmenta","ссылка на книгу")</f>
        <v>ссылка на книгу</v>
      </c>
      <c r="Y1311" s="34" t="str">
        <f>HYPERLINK("https://api-enni.alpina.ru/FilePrivilegesApproval/2","https://api-enni.alpina.ru/FilePrivilegesApproval/2")</f>
        <v>https://api-enni.alpina.ru/FilePrivilegesApproval/2</v>
      </c>
      <c r="Z1311" s="13" t="s">
        <v>405</v>
      </c>
      <c r="AT1311" s="1">
        <f t="shared" si="228"/>
        <v>0</v>
      </c>
      <c r="AU1311" s="1">
        <f t="shared" si="229"/>
        <v>0</v>
      </c>
      <c r="AV1311" s="1">
        <f t="shared" si="230"/>
        <v>0</v>
      </c>
      <c r="AW1311" s="1">
        <f t="shared" si="231"/>
        <v>0</v>
      </c>
      <c r="AX1311" s="1">
        <f t="shared" si="232"/>
        <v>0</v>
      </c>
    </row>
    <row r="1312" spans="1:50" s="1" customFormat="1" ht="24.95" customHeight="1" outlineLevel="3" x14ac:dyDescent="0.2">
      <c r="A1312" s="11"/>
      <c r="B1312" s="12">
        <v>940</v>
      </c>
      <c r="C1312" s="15">
        <v>1390</v>
      </c>
      <c r="D1312" s="12">
        <v>32489</v>
      </c>
      <c r="E1312" s="13" t="s">
        <v>4309</v>
      </c>
      <c r="F1312" s="13" t="s">
        <v>4310</v>
      </c>
      <c r="G1312" s="13" t="s">
        <v>97</v>
      </c>
      <c r="H1312" s="13" t="s">
        <v>40</v>
      </c>
      <c r="I1312" s="12">
        <v>2025</v>
      </c>
      <c r="J1312" s="13" t="s">
        <v>4311</v>
      </c>
      <c r="K1312" s="12">
        <v>9785206004687</v>
      </c>
      <c r="L1312" s="13" t="s">
        <v>4312</v>
      </c>
      <c r="M1312" s="12">
        <v>160</v>
      </c>
      <c r="N1312" s="14">
        <v>0.3</v>
      </c>
      <c r="O1312" s="12">
        <v>150</v>
      </c>
      <c r="P1312" s="12">
        <v>210</v>
      </c>
      <c r="Q1312" s="12">
        <v>10</v>
      </c>
      <c r="R1312" s="13" t="s">
        <v>43</v>
      </c>
      <c r="S1312" s="13"/>
      <c r="T1312" s="15">
        <v>1000</v>
      </c>
      <c r="U1312" s="13" t="s">
        <v>52</v>
      </c>
      <c r="V1312" s="13" t="s">
        <v>45</v>
      </c>
      <c r="W1312" s="12">
        <v>10</v>
      </c>
      <c r="X1312" s="33" t="str">
        <f>HYPERLINK("https://www.alpinabook.ru/catalog/book-pravila-potoka-po-goldrattu","ссылка на книгу")</f>
        <v>ссылка на книгу</v>
      </c>
      <c r="Y1312" s="34" t="str">
        <f>HYPERLINK("https://api-enni.alpina.ru/FilePrivilegesApproval/834","https://api-enni.alpina.ru/FilePrivilegesApproval/834")</f>
        <v>https://api-enni.alpina.ru/FilePrivilegesApproval/834</v>
      </c>
      <c r="Z1312" s="13" t="s">
        <v>392</v>
      </c>
      <c r="AT1312" s="1">
        <f t="shared" si="228"/>
        <v>0</v>
      </c>
      <c r="AU1312" s="1">
        <f t="shared" si="229"/>
        <v>0</v>
      </c>
      <c r="AV1312" s="1">
        <f t="shared" si="230"/>
        <v>0</v>
      </c>
      <c r="AW1312" s="1">
        <f t="shared" si="231"/>
        <v>0</v>
      </c>
      <c r="AX1312" s="1">
        <f t="shared" si="232"/>
        <v>0</v>
      </c>
    </row>
    <row r="1313" spans="1:50" s="1" customFormat="1" ht="24.95" customHeight="1" outlineLevel="3" x14ac:dyDescent="0.2">
      <c r="A1313" s="11"/>
      <c r="B1313" s="12">
        <v>690</v>
      </c>
      <c r="C1313" s="12">
        <v>990</v>
      </c>
      <c r="D1313" s="12">
        <v>12665</v>
      </c>
      <c r="E1313" s="13" t="s">
        <v>304</v>
      </c>
      <c r="F1313" s="13" t="s">
        <v>4313</v>
      </c>
      <c r="G1313" s="13" t="s">
        <v>56</v>
      </c>
      <c r="H1313" s="13"/>
      <c r="I1313" s="12">
        <v>2025</v>
      </c>
      <c r="J1313" s="13" t="s">
        <v>4314</v>
      </c>
      <c r="K1313" s="12">
        <v>9785961426595</v>
      </c>
      <c r="L1313" s="13" t="s">
        <v>4315</v>
      </c>
      <c r="M1313" s="12">
        <v>368</v>
      </c>
      <c r="N1313" s="14">
        <v>0.52</v>
      </c>
      <c r="O1313" s="12">
        <v>146</v>
      </c>
      <c r="P1313" s="12">
        <v>216</v>
      </c>
      <c r="Q1313" s="12">
        <v>10</v>
      </c>
      <c r="R1313" s="13" t="s">
        <v>43</v>
      </c>
      <c r="S1313" s="13"/>
      <c r="T1313" s="15">
        <v>3000</v>
      </c>
      <c r="U1313" s="13" t="s">
        <v>52</v>
      </c>
      <c r="V1313" s="13" t="s">
        <v>59</v>
      </c>
      <c r="W1313" s="12">
        <v>10</v>
      </c>
      <c r="X1313" s="33" t="str">
        <f>HYPERLINK("https://www.alpinabook.ru/catalog/book-praktiki-regulyarnogo-menedzhmenta","ссылка на книгу")</f>
        <v>ссылка на книгу</v>
      </c>
      <c r="Y1313" s="34" t="str">
        <f>HYPERLINK("https://api-enni.alpina.ru/FilePrivilegesApproval/124","https://api-enni.alpina.ru/FilePrivilegesApproval/124")</f>
        <v>https://api-enni.alpina.ru/FilePrivilegesApproval/124</v>
      </c>
      <c r="Z1313" s="13"/>
      <c r="AT1313" s="1">
        <f t="shared" si="228"/>
        <v>0</v>
      </c>
      <c r="AU1313" s="1">
        <f t="shared" si="229"/>
        <v>0</v>
      </c>
      <c r="AV1313" s="1">
        <f t="shared" si="230"/>
        <v>0</v>
      </c>
      <c r="AW1313" s="1">
        <f t="shared" si="231"/>
        <v>0</v>
      </c>
      <c r="AX1313" s="1">
        <f t="shared" si="232"/>
        <v>0</v>
      </c>
    </row>
    <row r="1314" spans="1:50" s="1" customFormat="1" ht="24.95" customHeight="1" outlineLevel="3" x14ac:dyDescent="0.2">
      <c r="A1314" s="11"/>
      <c r="B1314" s="12">
        <v>340</v>
      </c>
      <c r="C1314" s="12">
        <v>540</v>
      </c>
      <c r="D1314" s="12">
        <v>31514</v>
      </c>
      <c r="E1314" s="13" t="s">
        <v>4316</v>
      </c>
      <c r="F1314" s="13" t="s">
        <v>4317</v>
      </c>
      <c r="G1314" s="13" t="s">
        <v>56</v>
      </c>
      <c r="H1314" s="13" t="s">
        <v>40</v>
      </c>
      <c r="I1314" s="12">
        <v>2024</v>
      </c>
      <c r="J1314" s="13" t="s">
        <v>4318</v>
      </c>
      <c r="K1314" s="12">
        <v>9785961499087</v>
      </c>
      <c r="L1314" s="13" t="s">
        <v>4319</v>
      </c>
      <c r="M1314" s="12">
        <v>410</v>
      </c>
      <c r="N1314" s="14">
        <v>0.27</v>
      </c>
      <c r="O1314" s="12">
        <v>120</v>
      </c>
      <c r="P1314" s="12">
        <v>170</v>
      </c>
      <c r="Q1314" s="12">
        <v>16</v>
      </c>
      <c r="R1314" s="13" t="s">
        <v>75</v>
      </c>
      <c r="S1314" s="13"/>
      <c r="T1314" s="15">
        <v>2000</v>
      </c>
      <c r="U1314" s="13" t="s">
        <v>44</v>
      </c>
      <c r="V1314" s="13" t="s">
        <v>59</v>
      </c>
      <c r="W1314" s="12">
        <v>10</v>
      </c>
      <c r="X1314" s="33" t="str">
        <f>HYPERLINK("https://www.alpinabook.ru/catalog/book-problema-ne-v-etom","ссылка на книгу")</f>
        <v>ссылка на книгу</v>
      </c>
      <c r="Y1314" s="34" t="str">
        <f>HYPERLINK("https://api-enni.alpina.ru/FilePrivilegesApproval/633","https://api-enni.alpina.ru/FilePrivilegesApproval/633")</f>
        <v>https://api-enni.alpina.ru/FilePrivilegesApproval/633</v>
      </c>
      <c r="Z1314" s="13"/>
      <c r="AT1314" s="1">
        <f t="shared" si="228"/>
        <v>0</v>
      </c>
      <c r="AU1314" s="1">
        <f t="shared" si="229"/>
        <v>0</v>
      </c>
      <c r="AV1314" s="1">
        <f t="shared" si="230"/>
        <v>0</v>
      </c>
      <c r="AW1314" s="1">
        <f t="shared" si="231"/>
        <v>0</v>
      </c>
      <c r="AX1314" s="1">
        <f t="shared" si="232"/>
        <v>0</v>
      </c>
    </row>
    <row r="1315" spans="1:50" s="1" customFormat="1" ht="24.95" customHeight="1" outlineLevel="3" x14ac:dyDescent="0.2">
      <c r="A1315" s="11"/>
      <c r="B1315" s="12">
        <v>890</v>
      </c>
      <c r="C1315" s="15">
        <v>1290</v>
      </c>
      <c r="D1315" s="12">
        <v>18719</v>
      </c>
      <c r="E1315" s="13" t="s">
        <v>4320</v>
      </c>
      <c r="F1315" s="13" t="s">
        <v>4321</v>
      </c>
      <c r="G1315" s="13" t="s">
        <v>97</v>
      </c>
      <c r="H1315" s="13"/>
      <c r="I1315" s="12">
        <v>2024</v>
      </c>
      <c r="J1315" s="13" t="s">
        <v>4322</v>
      </c>
      <c r="K1315" s="12">
        <v>9785907274754</v>
      </c>
      <c r="L1315" s="13" t="s">
        <v>4323</v>
      </c>
      <c r="M1315" s="12">
        <v>228</v>
      </c>
      <c r="N1315" s="14">
        <v>0.55000000000000004</v>
      </c>
      <c r="O1315" s="12">
        <v>168</v>
      </c>
      <c r="P1315" s="12">
        <v>241</v>
      </c>
      <c r="Q1315" s="12">
        <v>8</v>
      </c>
      <c r="R1315" s="13" t="s">
        <v>94</v>
      </c>
      <c r="S1315" s="13"/>
      <c r="T1315" s="15">
        <v>1000</v>
      </c>
      <c r="U1315" s="13" t="s">
        <v>52</v>
      </c>
      <c r="V1315" s="13" t="s">
        <v>59</v>
      </c>
      <c r="W1315" s="12">
        <v>10</v>
      </c>
      <c r="X1315" s="33" t="str">
        <f>HYPERLINK("https://www.alpinabook.ru/catalog/book-prodzhekt-menedzhment","ссылка на книгу")</f>
        <v>ссылка на книгу</v>
      </c>
      <c r="Y1315" s="34" t="str">
        <f>HYPERLINK("https://api-enni.alpina.ru/FilePrivilegesApproval/129","https://api-enni.alpina.ru/FilePrivilegesApproval/129")</f>
        <v>https://api-enni.alpina.ru/FilePrivilegesApproval/129</v>
      </c>
      <c r="Z1315" s="13"/>
      <c r="AT1315" s="1">
        <f t="shared" si="228"/>
        <v>0</v>
      </c>
      <c r="AU1315" s="1">
        <f t="shared" si="229"/>
        <v>0</v>
      </c>
      <c r="AV1315" s="1">
        <f t="shared" si="230"/>
        <v>0</v>
      </c>
      <c r="AW1315" s="1">
        <f t="shared" si="231"/>
        <v>0</v>
      </c>
      <c r="AX1315" s="1">
        <f t="shared" si="232"/>
        <v>0</v>
      </c>
    </row>
    <row r="1316" spans="1:50" s="1" customFormat="1" ht="24.95" customHeight="1" outlineLevel="3" x14ac:dyDescent="0.2">
      <c r="A1316" s="11"/>
      <c r="B1316" s="12">
        <v>550</v>
      </c>
      <c r="C1316" s="12">
        <v>550</v>
      </c>
      <c r="D1316" s="12">
        <v>12797</v>
      </c>
      <c r="E1316" s="13" t="s">
        <v>4324</v>
      </c>
      <c r="F1316" s="13" t="s">
        <v>4325</v>
      </c>
      <c r="G1316" s="13" t="s">
        <v>56</v>
      </c>
      <c r="H1316" s="13" t="s">
        <v>40</v>
      </c>
      <c r="I1316" s="12">
        <v>2020</v>
      </c>
      <c r="J1316" s="13" t="s">
        <v>4326</v>
      </c>
      <c r="K1316" s="12">
        <v>9785961427356</v>
      </c>
      <c r="L1316" s="13" t="s">
        <v>4327</v>
      </c>
      <c r="M1316" s="12">
        <v>200</v>
      </c>
      <c r="N1316" s="14">
        <v>0.34</v>
      </c>
      <c r="O1316" s="12">
        <v>146</v>
      </c>
      <c r="P1316" s="12">
        <v>216</v>
      </c>
      <c r="Q1316" s="12">
        <v>18</v>
      </c>
      <c r="R1316" s="13" t="s">
        <v>43</v>
      </c>
      <c r="S1316" s="13"/>
      <c r="T1316" s="15">
        <v>2000</v>
      </c>
      <c r="U1316" s="13" t="s">
        <v>52</v>
      </c>
      <c r="V1316" s="13" t="s">
        <v>59</v>
      </c>
      <c r="W1316" s="12">
        <v>10</v>
      </c>
      <c r="X1316" s="33" t="str">
        <f>HYPERLINK("https://www.alpinabook.ru/catalog/book-596870","ссылка на книгу")</f>
        <v>ссылка на книгу</v>
      </c>
      <c r="Y1316" s="34" t="str">
        <f>HYPERLINK("https://api-enni.alpina.ru/FilePrivilegesApproval/37","https://api-enni.alpina.ru/FilePrivilegesApproval/37")</f>
        <v>https://api-enni.alpina.ru/FilePrivilegesApproval/37</v>
      </c>
      <c r="Z1316" s="13"/>
      <c r="AT1316" s="1">
        <f t="shared" si="228"/>
        <v>0</v>
      </c>
      <c r="AU1316" s="1">
        <f t="shared" si="229"/>
        <v>0</v>
      </c>
      <c r="AV1316" s="1">
        <f t="shared" si="230"/>
        <v>0</v>
      </c>
      <c r="AW1316" s="1">
        <f t="shared" si="231"/>
        <v>0</v>
      </c>
      <c r="AX1316" s="1">
        <f t="shared" si="232"/>
        <v>0</v>
      </c>
    </row>
    <row r="1317" spans="1:50" s="1" customFormat="1" ht="24.95" customHeight="1" outlineLevel="3" x14ac:dyDescent="0.2">
      <c r="A1317" s="11"/>
      <c r="B1317" s="12">
        <v>790</v>
      </c>
      <c r="C1317" s="15">
        <v>1190</v>
      </c>
      <c r="D1317" s="12">
        <v>24957</v>
      </c>
      <c r="E1317" s="13" t="s">
        <v>4328</v>
      </c>
      <c r="F1317" s="13" t="s">
        <v>4329</v>
      </c>
      <c r="G1317" s="13" t="s">
        <v>97</v>
      </c>
      <c r="H1317" s="13" t="s">
        <v>40</v>
      </c>
      <c r="I1317" s="12">
        <v>2023</v>
      </c>
      <c r="J1317" s="13" t="s">
        <v>4330</v>
      </c>
      <c r="K1317" s="12">
        <v>9785961476453</v>
      </c>
      <c r="L1317" s="13" t="s">
        <v>4331</v>
      </c>
      <c r="M1317" s="12">
        <v>224</v>
      </c>
      <c r="N1317" s="14">
        <v>0.39</v>
      </c>
      <c r="O1317" s="12">
        <v>160</v>
      </c>
      <c r="P1317" s="12">
        <v>220</v>
      </c>
      <c r="Q1317" s="12">
        <v>8</v>
      </c>
      <c r="R1317" s="13" t="s">
        <v>43</v>
      </c>
      <c r="S1317" s="13"/>
      <c r="T1317" s="15">
        <v>1000</v>
      </c>
      <c r="U1317" s="13" t="s">
        <v>52</v>
      </c>
      <c r="V1317" s="13" t="s">
        <v>45</v>
      </c>
      <c r="W1317" s="12">
        <v>10</v>
      </c>
      <c r="X1317" s="33" t="str">
        <f>HYPERLINK("https://www.alpinabook.ru/catalog/book-razbitye-okna-razbityy-biznes","ссылка на книгу")</f>
        <v>ссылка на книгу</v>
      </c>
      <c r="Y1317" s="34" t="str">
        <f>HYPERLINK("https://api-enni.alpina.ru/FilePrivilegesApproval/130","https://api-enni.alpina.ru/FilePrivilegesApproval/130")</f>
        <v>https://api-enni.alpina.ru/FilePrivilegesApproval/130</v>
      </c>
      <c r="Z1317" s="13" t="s">
        <v>4332</v>
      </c>
      <c r="AT1317" s="1">
        <f t="shared" si="228"/>
        <v>0</v>
      </c>
      <c r="AU1317" s="1">
        <f t="shared" si="229"/>
        <v>0</v>
      </c>
      <c r="AV1317" s="1">
        <f t="shared" si="230"/>
        <v>0</v>
      </c>
      <c r="AW1317" s="1">
        <f t="shared" si="231"/>
        <v>0</v>
      </c>
      <c r="AX1317" s="1">
        <f t="shared" si="232"/>
        <v>0</v>
      </c>
    </row>
    <row r="1318" spans="1:50" s="1" customFormat="1" ht="24.95" customHeight="1" outlineLevel="3" x14ac:dyDescent="0.2">
      <c r="A1318" s="11"/>
      <c r="B1318" s="15">
        <v>2390</v>
      </c>
      <c r="C1318" s="15">
        <v>2390</v>
      </c>
      <c r="D1318" s="12">
        <v>23301</v>
      </c>
      <c r="E1318" s="13" t="s">
        <v>4333</v>
      </c>
      <c r="F1318" s="13" t="s">
        <v>4334</v>
      </c>
      <c r="G1318" s="13" t="s">
        <v>56</v>
      </c>
      <c r="H1318" s="13" t="s">
        <v>40</v>
      </c>
      <c r="I1318" s="12">
        <v>2025</v>
      </c>
      <c r="J1318" s="13" t="s">
        <v>4335</v>
      </c>
      <c r="K1318" s="12">
        <v>9785961472073</v>
      </c>
      <c r="L1318" s="13" t="s">
        <v>4336</v>
      </c>
      <c r="M1318" s="12">
        <v>504</v>
      </c>
      <c r="N1318" s="14">
        <v>0.91</v>
      </c>
      <c r="O1318" s="12">
        <v>200</v>
      </c>
      <c r="P1318" s="12">
        <v>240</v>
      </c>
      <c r="Q1318" s="12">
        <v>4</v>
      </c>
      <c r="R1318" s="13" t="s">
        <v>167</v>
      </c>
      <c r="S1318" s="13"/>
      <c r="T1318" s="15">
        <v>2000</v>
      </c>
      <c r="U1318" s="13" t="s">
        <v>44</v>
      </c>
      <c r="V1318" s="13" t="s">
        <v>64</v>
      </c>
      <c r="W1318" s="12">
        <v>10</v>
      </c>
      <c r="X1318" s="33" t="str">
        <f>HYPERLINK("https://www.alpinabook.ru/catalog/book-bpm-cbok-4-0","ссылка на книгу")</f>
        <v>ссылка на книгу</v>
      </c>
      <c r="Y1318" s="34" t="str">
        <f>HYPERLINK("https://api-enni.alpina.ru/FilePrivilegesApproval/124","https://api-enni.alpina.ru/FilePrivilegesApproval/124")</f>
        <v>https://api-enni.alpina.ru/FilePrivilegesApproval/124</v>
      </c>
      <c r="Z1318" s="13" t="s">
        <v>46</v>
      </c>
      <c r="AT1318" s="1">
        <f t="shared" si="228"/>
        <v>0</v>
      </c>
      <c r="AU1318" s="1">
        <f t="shared" si="229"/>
        <v>0</v>
      </c>
      <c r="AV1318" s="1">
        <f t="shared" si="230"/>
        <v>0</v>
      </c>
      <c r="AW1318" s="1">
        <f t="shared" si="231"/>
        <v>0</v>
      </c>
      <c r="AX1318" s="1">
        <f t="shared" si="232"/>
        <v>0</v>
      </c>
    </row>
    <row r="1319" spans="1:50" s="1" customFormat="1" ht="24.95" customHeight="1" outlineLevel="3" x14ac:dyDescent="0.2">
      <c r="A1319" s="11"/>
      <c r="B1319" s="12">
        <v>690</v>
      </c>
      <c r="C1319" s="12">
        <v>990</v>
      </c>
      <c r="D1319" s="12">
        <v>14943</v>
      </c>
      <c r="E1319" s="13" t="s">
        <v>711</v>
      </c>
      <c r="F1319" s="13" t="s">
        <v>712</v>
      </c>
      <c r="G1319" s="13" t="s">
        <v>56</v>
      </c>
      <c r="H1319" s="13"/>
      <c r="I1319" s="12">
        <v>2025</v>
      </c>
      <c r="J1319" s="13" t="s">
        <v>713</v>
      </c>
      <c r="K1319" s="12">
        <v>9785961428384</v>
      </c>
      <c r="L1319" s="13" t="s">
        <v>714</v>
      </c>
      <c r="M1319" s="12">
        <v>488</v>
      </c>
      <c r="N1319" s="14">
        <v>0.68</v>
      </c>
      <c r="O1319" s="12">
        <v>150</v>
      </c>
      <c r="P1319" s="12">
        <v>220</v>
      </c>
      <c r="Q1319" s="12">
        <v>5</v>
      </c>
      <c r="R1319" s="13" t="s">
        <v>43</v>
      </c>
      <c r="S1319" s="13"/>
      <c r="T1319" s="15">
        <v>1000</v>
      </c>
      <c r="U1319" s="13" t="s">
        <v>52</v>
      </c>
      <c r="V1319" s="13" t="s">
        <v>45</v>
      </c>
      <c r="W1319" s="12">
        <v>10</v>
      </c>
      <c r="X1319" s="33" t="str">
        <f>HYPERLINK("https://www.alpinabook.ru/catalog/book-sdelay-eto-v-kitae","ссылка на книгу")</f>
        <v>ссылка на книгу</v>
      </c>
      <c r="Y1319" s="34" t="str">
        <f>HYPERLINK("https://api-enni.alpina.ru/FilePrivilegesApproval/37","https://api-enni.alpina.ru/FilePrivilegesApproval/37")</f>
        <v>https://api-enni.alpina.ru/FilePrivilegesApproval/37</v>
      </c>
      <c r="Z1319" s="13" t="s">
        <v>387</v>
      </c>
      <c r="AT1319" s="1">
        <f t="shared" si="228"/>
        <v>0</v>
      </c>
      <c r="AU1319" s="1">
        <f t="shared" si="229"/>
        <v>0</v>
      </c>
      <c r="AV1319" s="1">
        <f t="shared" si="230"/>
        <v>0</v>
      </c>
      <c r="AW1319" s="1">
        <f t="shared" si="231"/>
        <v>0</v>
      </c>
      <c r="AX1319" s="1">
        <f t="shared" si="232"/>
        <v>0</v>
      </c>
    </row>
    <row r="1320" spans="1:50" s="1" customFormat="1" ht="24.95" customHeight="1" outlineLevel="3" x14ac:dyDescent="0.2">
      <c r="A1320" s="11"/>
      <c r="B1320" s="12">
        <v>490</v>
      </c>
      <c r="C1320" s="12">
        <v>740</v>
      </c>
      <c r="D1320" s="12">
        <v>28087</v>
      </c>
      <c r="E1320" s="13" t="s">
        <v>4337</v>
      </c>
      <c r="F1320" s="13" t="s">
        <v>4338</v>
      </c>
      <c r="G1320" s="13" t="s">
        <v>56</v>
      </c>
      <c r="H1320" s="13" t="s">
        <v>40</v>
      </c>
      <c r="I1320" s="12">
        <v>2025</v>
      </c>
      <c r="J1320" s="13" t="s">
        <v>4339</v>
      </c>
      <c r="K1320" s="12">
        <v>9785961487251</v>
      </c>
      <c r="L1320" s="13" t="s">
        <v>4340</v>
      </c>
      <c r="M1320" s="12">
        <v>256</v>
      </c>
      <c r="N1320" s="14">
        <v>0.41</v>
      </c>
      <c r="O1320" s="12">
        <v>170</v>
      </c>
      <c r="P1320" s="12">
        <v>240</v>
      </c>
      <c r="Q1320" s="12">
        <v>10</v>
      </c>
      <c r="R1320" s="13" t="s">
        <v>94</v>
      </c>
      <c r="S1320" s="13"/>
      <c r="T1320" s="15">
        <v>3000</v>
      </c>
      <c r="U1320" s="13" t="s">
        <v>44</v>
      </c>
      <c r="V1320" s="13" t="s">
        <v>64</v>
      </c>
      <c r="W1320" s="12">
        <v>10</v>
      </c>
      <c r="X1320" s="33" t="str">
        <f>HYPERLINK("https://www.alpinabook.ru/catalog/book-","ссылка на книгу")</f>
        <v>ссылка на книгу</v>
      </c>
      <c r="Y1320" s="34" t="str">
        <f>HYPERLINK("https://api-enni.alpina.ru/FilePrivilegesApproval/140","https://api-enni.alpina.ru/FilePrivilegesApproval/140")</f>
        <v>https://api-enni.alpina.ru/FilePrivilegesApproval/140</v>
      </c>
      <c r="Z1320" s="13"/>
      <c r="AT1320" s="1">
        <f t="shared" si="228"/>
        <v>0</v>
      </c>
      <c r="AU1320" s="1">
        <f t="shared" si="229"/>
        <v>0</v>
      </c>
      <c r="AV1320" s="1">
        <f t="shared" si="230"/>
        <v>0</v>
      </c>
      <c r="AW1320" s="1">
        <f t="shared" si="231"/>
        <v>0</v>
      </c>
      <c r="AX1320" s="1">
        <f t="shared" si="232"/>
        <v>0</v>
      </c>
    </row>
    <row r="1321" spans="1:50" s="1" customFormat="1" ht="24.95" customHeight="1" outlineLevel="3" x14ac:dyDescent="0.2">
      <c r="A1321" s="11"/>
      <c r="B1321" s="12">
        <v>740</v>
      </c>
      <c r="C1321" s="12">
        <v>740</v>
      </c>
      <c r="D1321" s="12">
        <v>22667</v>
      </c>
      <c r="E1321" s="13" t="s">
        <v>4341</v>
      </c>
      <c r="F1321" s="13" t="s">
        <v>4342</v>
      </c>
      <c r="G1321" s="13" t="s">
        <v>56</v>
      </c>
      <c r="H1321" s="13" t="s">
        <v>40</v>
      </c>
      <c r="I1321" s="12">
        <v>2022</v>
      </c>
      <c r="J1321" s="13" t="s">
        <v>4343</v>
      </c>
      <c r="K1321" s="12">
        <v>9785961476590</v>
      </c>
      <c r="L1321" s="13" t="s">
        <v>4344</v>
      </c>
      <c r="M1321" s="12">
        <v>380</v>
      </c>
      <c r="N1321" s="14">
        <v>0.55000000000000004</v>
      </c>
      <c r="O1321" s="12">
        <v>146</v>
      </c>
      <c r="P1321" s="12">
        <v>216</v>
      </c>
      <c r="Q1321" s="12">
        <v>10</v>
      </c>
      <c r="R1321" s="13" t="s">
        <v>43</v>
      </c>
      <c r="S1321" s="13"/>
      <c r="T1321" s="15">
        <v>2000</v>
      </c>
      <c r="U1321" s="13" t="s">
        <v>52</v>
      </c>
      <c r="V1321" s="13" t="s">
        <v>59</v>
      </c>
      <c r="W1321" s="12">
        <v>10</v>
      </c>
      <c r="X1321" s="33" t="str">
        <f>HYPERLINK("https://www.alpinabook.ru/catalog/book-sprosi-razrabotchika","ссылка на книгу")</f>
        <v>ссылка на книгу</v>
      </c>
      <c r="Y1321" s="34" t="str">
        <f>HYPERLINK("https://api-enni.alpina.ru/FilePrivilegesApproval/157","https://api-enni.alpina.ru/FilePrivilegesApproval/157")</f>
        <v>https://api-enni.alpina.ru/FilePrivilegesApproval/157</v>
      </c>
      <c r="Z1321" s="13"/>
      <c r="AT1321" s="1">
        <f t="shared" si="228"/>
        <v>0</v>
      </c>
      <c r="AU1321" s="1">
        <f t="shared" si="229"/>
        <v>0</v>
      </c>
      <c r="AV1321" s="1">
        <f t="shared" si="230"/>
        <v>0</v>
      </c>
      <c r="AW1321" s="1">
        <f t="shared" si="231"/>
        <v>0</v>
      </c>
      <c r="AX1321" s="1">
        <f t="shared" si="232"/>
        <v>0</v>
      </c>
    </row>
    <row r="1322" spans="1:50" s="1" customFormat="1" ht="24.95" customHeight="1" outlineLevel="3" x14ac:dyDescent="0.2">
      <c r="A1322" s="11"/>
      <c r="B1322" s="12">
        <v>690</v>
      </c>
      <c r="C1322" s="15">
        <v>1190</v>
      </c>
      <c r="D1322" s="12">
        <v>25279</v>
      </c>
      <c r="E1322" s="13" t="s">
        <v>4053</v>
      </c>
      <c r="F1322" s="13" t="s">
        <v>4345</v>
      </c>
      <c r="G1322" s="13" t="s">
        <v>56</v>
      </c>
      <c r="H1322" s="13" t="s">
        <v>40</v>
      </c>
      <c r="I1322" s="12">
        <v>2025</v>
      </c>
      <c r="J1322" s="13" t="s">
        <v>4346</v>
      </c>
      <c r="K1322" s="12">
        <v>9785961477436</v>
      </c>
      <c r="L1322" s="13" t="s">
        <v>4347</v>
      </c>
      <c r="M1322" s="12">
        <v>200</v>
      </c>
      <c r="N1322" s="14">
        <v>0.44</v>
      </c>
      <c r="O1322" s="12">
        <v>170</v>
      </c>
      <c r="P1322" s="12">
        <v>240</v>
      </c>
      <c r="Q1322" s="12">
        <v>8</v>
      </c>
      <c r="R1322" s="13" t="s">
        <v>94</v>
      </c>
      <c r="S1322" s="13" t="s">
        <v>4057</v>
      </c>
      <c r="T1322" s="15">
        <v>3000</v>
      </c>
      <c r="U1322" s="13" t="s">
        <v>52</v>
      </c>
      <c r="V1322" s="13" t="s">
        <v>64</v>
      </c>
      <c r="W1322" s="12">
        <v>10</v>
      </c>
      <c r="X1322" s="33" t="str">
        <f>HYPERLINK("https://www.alpinabook.ru/catalog/book-stili-menedzhmenta-effektivnye-i-neeffektivnye","ссылка на книгу")</f>
        <v>ссылка на книгу</v>
      </c>
      <c r="Y1322" s="34" t="str">
        <f>HYPERLINK("https://api-enni.alpina.ru/FilePrivilegesApproval/132","https://api-enni.alpina.ru/FilePrivilegesApproval/132")</f>
        <v>https://api-enni.alpina.ru/FilePrivilegesApproval/132</v>
      </c>
      <c r="Z1322" s="13" t="s">
        <v>732</v>
      </c>
      <c r="AT1322" s="1">
        <f t="shared" si="228"/>
        <v>0</v>
      </c>
      <c r="AU1322" s="1">
        <f t="shared" si="229"/>
        <v>0</v>
      </c>
      <c r="AV1322" s="1">
        <f t="shared" si="230"/>
        <v>0</v>
      </c>
      <c r="AW1322" s="1">
        <f t="shared" si="231"/>
        <v>0</v>
      </c>
      <c r="AX1322" s="1">
        <f t="shared" si="232"/>
        <v>0</v>
      </c>
    </row>
    <row r="1323" spans="1:50" s="1" customFormat="1" ht="24.95" customHeight="1" outlineLevel="3" x14ac:dyDescent="0.2">
      <c r="A1323" s="11"/>
      <c r="B1323" s="12">
        <v>890</v>
      </c>
      <c r="C1323" s="15">
        <v>1190</v>
      </c>
      <c r="D1323" s="12">
        <v>23820</v>
      </c>
      <c r="E1323" s="13" t="s">
        <v>4053</v>
      </c>
      <c r="F1323" s="13" t="s">
        <v>4348</v>
      </c>
      <c r="G1323" s="13" t="s">
        <v>56</v>
      </c>
      <c r="H1323" s="13" t="s">
        <v>40</v>
      </c>
      <c r="I1323" s="12">
        <v>2025</v>
      </c>
      <c r="J1323" s="13" t="s">
        <v>4349</v>
      </c>
      <c r="K1323" s="12">
        <v>9785961478945</v>
      </c>
      <c r="L1323" s="13" t="s">
        <v>4350</v>
      </c>
      <c r="M1323" s="12">
        <v>514</v>
      </c>
      <c r="N1323" s="14">
        <v>0.9</v>
      </c>
      <c r="O1323" s="12">
        <v>170</v>
      </c>
      <c r="P1323" s="12">
        <v>240</v>
      </c>
      <c r="Q1323" s="12">
        <v>5</v>
      </c>
      <c r="R1323" s="13" t="s">
        <v>94</v>
      </c>
      <c r="S1323" s="13" t="s">
        <v>4057</v>
      </c>
      <c r="T1323" s="15">
        <v>3000</v>
      </c>
      <c r="U1323" s="13" t="s">
        <v>52</v>
      </c>
      <c r="V1323" s="13" t="s">
        <v>59</v>
      </c>
      <c r="W1323" s="12">
        <v>10</v>
      </c>
      <c r="X1323" s="33" t="str">
        <f>HYPERLINK("https://www.alpinabook.ru/catalog/book-upravlenie-zhiznennym-tsiklom-kompanii","ссылка на книгу")</f>
        <v>ссылка на книгу</v>
      </c>
      <c r="Y1323" s="34" t="str">
        <f>HYPERLINK("https://api-enni.alpina.ru/FilePrivilegesApproval/156","https://api-enni.alpina.ru/FilePrivilegesApproval/156")</f>
        <v>https://api-enni.alpina.ru/FilePrivilegesApproval/156</v>
      </c>
      <c r="Z1323" s="13" t="s">
        <v>308</v>
      </c>
      <c r="AT1323" s="1">
        <f t="shared" si="228"/>
        <v>0</v>
      </c>
      <c r="AU1323" s="1">
        <f t="shared" si="229"/>
        <v>0</v>
      </c>
      <c r="AV1323" s="1">
        <f t="shared" si="230"/>
        <v>0</v>
      </c>
      <c r="AW1323" s="1">
        <f t="shared" si="231"/>
        <v>0</v>
      </c>
      <c r="AX1323" s="1">
        <f t="shared" si="232"/>
        <v>0</v>
      </c>
    </row>
    <row r="1324" spans="1:50" s="1" customFormat="1" ht="24.95" customHeight="1" outlineLevel="3" x14ac:dyDescent="0.2">
      <c r="A1324" s="11"/>
      <c r="B1324" s="12">
        <v>890</v>
      </c>
      <c r="C1324" s="15">
        <v>1190</v>
      </c>
      <c r="D1324" s="12">
        <v>23885</v>
      </c>
      <c r="E1324" s="13" t="s">
        <v>4053</v>
      </c>
      <c r="F1324" s="13" t="s">
        <v>4351</v>
      </c>
      <c r="G1324" s="13" t="s">
        <v>56</v>
      </c>
      <c r="H1324" s="13" t="s">
        <v>40</v>
      </c>
      <c r="I1324" s="12">
        <v>2025</v>
      </c>
      <c r="J1324" s="13" t="s">
        <v>4352</v>
      </c>
      <c r="K1324" s="12">
        <v>9785961480320</v>
      </c>
      <c r="L1324" s="13" t="s">
        <v>4353</v>
      </c>
      <c r="M1324" s="12">
        <v>259</v>
      </c>
      <c r="N1324" s="14">
        <v>0.5</v>
      </c>
      <c r="O1324" s="12">
        <v>170</v>
      </c>
      <c r="P1324" s="12">
        <v>250</v>
      </c>
      <c r="Q1324" s="12">
        <v>8</v>
      </c>
      <c r="R1324" s="13" t="s">
        <v>94</v>
      </c>
      <c r="S1324" s="13" t="s">
        <v>4057</v>
      </c>
      <c r="T1324" s="15">
        <v>2000</v>
      </c>
      <c r="U1324" s="13" t="s">
        <v>52</v>
      </c>
      <c r="V1324" s="13" t="s">
        <v>59</v>
      </c>
      <c r="W1324" s="12">
        <v>10</v>
      </c>
      <c r="X1324" s="33" t="str">
        <f>HYPERLINK("https://www.alpinabook.ru/catalog/book-upravlenie-izmeneniyami-bez-potryaseniy-i-konfliktov","ссылка на книгу")</f>
        <v>ссылка на книгу</v>
      </c>
      <c r="Y1324" s="34" t="str">
        <f>HYPERLINK("https://api-enni.alpina.ru/FilePrivilegesApproval/158","https://api-enni.alpina.ru/FilePrivilegesApproval/158")</f>
        <v>https://api-enni.alpina.ru/FilePrivilegesApproval/158</v>
      </c>
      <c r="Z1324" s="13" t="s">
        <v>308</v>
      </c>
      <c r="AT1324" s="1">
        <f t="shared" si="228"/>
        <v>0</v>
      </c>
      <c r="AU1324" s="1">
        <f t="shared" si="229"/>
        <v>0</v>
      </c>
      <c r="AV1324" s="1">
        <f t="shared" si="230"/>
        <v>0</v>
      </c>
      <c r="AW1324" s="1">
        <f t="shared" si="231"/>
        <v>0</v>
      </c>
      <c r="AX1324" s="1">
        <f t="shared" si="232"/>
        <v>0</v>
      </c>
    </row>
    <row r="1325" spans="1:50" s="1" customFormat="1" ht="24.95" customHeight="1" outlineLevel="3" x14ac:dyDescent="0.2">
      <c r="A1325" s="11"/>
      <c r="B1325" s="12">
        <v>840</v>
      </c>
      <c r="C1325" s="15">
        <v>1290</v>
      </c>
      <c r="D1325" s="12">
        <v>28518</v>
      </c>
      <c r="E1325" s="13" t="s">
        <v>4354</v>
      </c>
      <c r="F1325" s="13" t="s">
        <v>4355</v>
      </c>
      <c r="G1325" s="13" t="s">
        <v>56</v>
      </c>
      <c r="H1325" s="13" t="s">
        <v>40</v>
      </c>
      <c r="I1325" s="12">
        <v>2025</v>
      </c>
      <c r="J1325" s="13" t="s">
        <v>4356</v>
      </c>
      <c r="K1325" s="12">
        <v>9785961489224</v>
      </c>
      <c r="L1325" s="13" t="s">
        <v>4357</v>
      </c>
      <c r="M1325" s="12">
        <v>282</v>
      </c>
      <c r="N1325" s="14">
        <v>0.6</v>
      </c>
      <c r="O1325" s="12">
        <v>170</v>
      </c>
      <c r="P1325" s="12">
        <v>240</v>
      </c>
      <c r="Q1325" s="12">
        <v>8</v>
      </c>
      <c r="R1325" s="13" t="s">
        <v>94</v>
      </c>
      <c r="S1325" s="13"/>
      <c r="T1325" s="15">
        <v>2000</v>
      </c>
      <c r="U1325" s="13" t="s">
        <v>52</v>
      </c>
      <c r="V1325" s="13" t="s">
        <v>45</v>
      </c>
      <c r="W1325" s="12">
        <v>10</v>
      </c>
      <c r="X1325" s="33" t="str">
        <f>HYPERLINK("https://www.alpinabook.ru/catalog/book-upravlenie-po-tselyam-i-klyuchevym-rezultatam","ссылка на книгу")</f>
        <v>ссылка на книгу</v>
      </c>
      <c r="Y1325" s="34" t="str">
        <f>HYPERLINK("https://api-enni.alpina.ru/FilePrivilegesApproval/339","https://api-enni.alpina.ru/FilePrivilegesApproval/339")</f>
        <v>https://api-enni.alpina.ru/FilePrivilegesApproval/339</v>
      </c>
      <c r="Z1325" s="13" t="s">
        <v>954</v>
      </c>
      <c r="AT1325" s="1">
        <f t="shared" si="228"/>
        <v>0</v>
      </c>
      <c r="AU1325" s="1">
        <f t="shared" si="229"/>
        <v>0</v>
      </c>
      <c r="AV1325" s="1">
        <f t="shared" si="230"/>
        <v>0</v>
      </c>
      <c r="AW1325" s="1">
        <f t="shared" si="231"/>
        <v>0</v>
      </c>
      <c r="AX1325" s="1">
        <f t="shared" si="232"/>
        <v>0</v>
      </c>
    </row>
    <row r="1326" spans="1:50" s="1" customFormat="1" ht="24.95" customHeight="1" outlineLevel="3" x14ac:dyDescent="0.2">
      <c r="A1326" s="11"/>
      <c r="B1326" s="12">
        <v>590</v>
      </c>
      <c r="C1326" s="12">
        <v>840</v>
      </c>
      <c r="D1326" s="12">
        <v>5413</v>
      </c>
      <c r="E1326" s="13" t="s">
        <v>787</v>
      </c>
      <c r="F1326" s="13" t="s">
        <v>788</v>
      </c>
      <c r="G1326" s="13" t="s">
        <v>56</v>
      </c>
      <c r="H1326" s="13" t="s">
        <v>40</v>
      </c>
      <c r="I1326" s="12">
        <v>2025</v>
      </c>
      <c r="J1326" s="13" t="s">
        <v>789</v>
      </c>
      <c r="K1326" s="12">
        <v>9785961469400</v>
      </c>
      <c r="L1326" s="13" t="s">
        <v>790</v>
      </c>
      <c r="M1326" s="12">
        <v>180</v>
      </c>
      <c r="N1326" s="14">
        <v>0.28999999999999998</v>
      </c>
      <c r="O1326" s="12">
        <v>133</v>
      </c>
      <c r="P1326" s="12">
        <v>206</v>
      </c>
      <c r="Q1326" s="12">
        <v>10</v>
      </c>
      <c r="R1326" s="13" t="s">
        <v>82</v>
      </c>
      <c r="S1326" s="13"/>
      <c r="T1326" s="15">
        <v>1000</v>
      </c>
      <c r="U1326" s="13" t="s">
        <v>52</v>
      </c>
      <c r="V1326" s="13" t="s">
        <v>64</v>
      </c>
      <c r="W1326" s="12">
        <v>10</v>
      </c>
      <c r="X1326" s="33" t="str">
        <f>HYPERLINK("https://www.alpinabook.ru/catalog/book-upravlenie-proektami-ot-a-do-ya","ссылка на книгу")</f>
        <v>ссылка на книгу</v>
      </c>
      <c r="Y1326" s="34" t="str">
        <f>HYPERLINK("https://api-enni.alpina.ru/FilePrivilegesApproval/156","https://api-enni.alpina.ru/FilePrivilegesApproval/156")</f>
        <v>https://api-enni.alpina.ru/FilePrivilegesApproval/156</v>
      </c>
      <c r="Z1326" s="13" t="s">
        <v>77</v>
      </c>
      <c r="AT1326" s="1">
        <f t="shared" si="228"/>
        <v>0</v>
      </c>
      <c r="AU1326" s="1">
        <f t="shared" si="229"/>
        <v>0</v>
      </c>
      <c r="AV1326" s="1">
        <f t="shared" si="230"/>
        <v>0</v>
      </c>
      <c r="AW1326" s="1">
        <f t="shared" si="231"/>
        <v>0</v>
      </c>
      <c r="AX1326" s="1">
        <f t="shared" si="232"/>
        <v>0</v>
      </c>
    </row>
    <row r="1327" spans="1:50" s="1" customFormat="1" ht="24.95" customHeight="1" outlineLevel="3" x14ac:dyDescent="0.2">
      <c r="A1327" s="26"/>
      <c r="B1327" s="27">
        <v>490</v>
      </c>
      <c r="C1327" s="27">
        <v>740</v>
      </c>
      <c r="D1327" s="27">
        <v>4930</v>
      </c>
      <c r="E1327" s="29" t="s">
        <v>780</v>
      </c>
      <c r="F1327" s="29" t="s">
        <v>791</v>
      </c>
      <c r="G1327" s="29" t="s">
        <v>97</v>
      </c>
      <c r="H1327" s="29"/>
      <c r="I1327" s="27">
        <v>2025</v>
      </c>
      <c r="J1327" s="29" t="s">
        <v>792</v>
      </c>
      <c r="K1327" s="27">
        <v>9785961470444</v>
      </c>
      <c r="L1327" s="29" t="s">
        <v>793</v>
      </c>
      <c r="M1327" s="27">
        <v>238</v>
      </c>
      <c r="N1327" s="30">
        <v>0.34</v>
      </c>
      <c r="O1327" s="27">
        <v>135</v>
      </c>
      <c r="P1327" s="27">
        <v>206</v>
      </c>
      <c r="Q1327" s="27">
        <v>10</v>
      </c>
      <c r="R1327" s="29" t="s">
        <v>82</v>
      </c>
      <c r="S1327" s="29"/>
      <c r="T1327" s="28">
        <v>1000</v>
      </c>
      <c r="U1327" s="29" t="s">
        <v>52</v>
      </c>
      <c r="V1327" s="29" t="s">
        <v>64</v>
      </c>
      <c r="W1327" s="27">
        <v>10</v>
      </c>
      <c r="X1327" s="37" t="str">
        <f>HYPERLINK("https://www.alpinabook.ru/catalog/book-upravlencheskaya-effektivnost-rukovoditelya","ссылка на книгу")</f>
        <v>ссылка на книгу</v>
      </c>
      <c r="Y1327" s="38" t="str">
        <f>HYPERLINK("https://api-enni.alpina.ru/FilePrivilegesApproval/2","https://api-enni.alpina.ru/FilePrivilegesApproval/2")</f>
        <v>https://api-enni.alpina.ru/FilePrivilegesApproval/2</v>
      </c>
      <c r="Z1327" s="29" t="s">
        <v>387</v>
      </c>
      <c r="AT1327" s="1">
        <f t="shared" si="228"/>
        <v>0</v>
      </c>
      <c r="AU1327" s="1">
        <f t="shared" si="229"/>
        <v>0</v>
      </c>
      <c r="AV1327" s="1">
        <f t="shared" si="230"/>
        <v>0</v>
      </c>
      <c r="AW1327" s="1">
        <f t="shared" si="231"/>
        <v>0</v>
      </c>
      <c r="AX1327" s="1">
        <f t="shared" si="232"/>
        <v>0</v>
      </c>
    </row>
    <row r="1328" spans="1:50" s="1" customFormat="1" ht="24.95" customHeight="1" outlineLevel="3" x14ac:dyDescent="0.2">
      <c r="A1328" s="26"/>
      <c r="B1328" s="27">
        <v>890</v>
      </c>
      <c r="C1328" s="28">
        <v>1290</v>
      </c>
      <c r="D1328" s="27">
        <v>17070</v>
      </c>
      <c r="E1328" s="29" t="s">
        <v>4358</v>
      </c>
      <c r="F1328" s="29" t="s">
        <v>4359</v>
      </c>
      <c r="G1328" s="29" t="s">
        <v>97</v>
      </c>
      <c r="H1328" s="29" t="s">
        <v>40</v>
      </c>
      <c r="I1328" s="27">
        <v>2024</v>
      </c>
      <c r="J1328" s="29" t="s">
        <v>4360</v>
      </c>
      <c r="K1328" s="27">
        <v>9785604288115</v>
      </c>
      <c r="L1328" s="29" t="s">
        <v>4361</v>
      </c>
      <c r="M1328" s="27">
        <v>220</v>
      </c>
      <c r="N1328" s="30">
        <v>0.48</v>
      </c>
      <c r="O1328" s="27">
        <v>171</v>
      </c>
      <c r="P1328" s="27">
        <v>241</v>
      </c>
      <c r="Q1328" s="27">
        <v>10</v>
      </c>
      <c r="R1328" s="29" t="s">
        <v>94</v>
      </c>
      <c r="S1328" s="29"/>
      <c r="T1328" s="28">
        <v>1000</v>
      </c>
      <c r="U1328" s="29" t="s">
        <v>52</v>
      </c>
      <c r="V1328" s="29" t="s">
        <v>59</v>
      </c>
      <c r="W1328" s="27">
        <v>10</v>
      </c>
      <c r="X1328" s="37" t="str">
        <f>HYPERLINK("https://www.alpinabook.ru/catalog/book-uskoryaysya-nauka-devops","ссылка на книгу")</f>
        <v>ссылка на книгу</v>
      </c>
      <c r="Y1328" s="38" t="str">
        <f>HYPERLINK("https://api-enni.alpina.ru/FilePrivilegesApproval/142","https://api-enni.alpina.ru/FilePrivilegesApproval/142")</f>
        <v>https://api-enni.alpina.ru/FilePrivilegesApproval/142</v>
      </c>
      <c r="Z1328" s="29"/>
      <c r="AT1328" s="1">
        <f t="shared" si="228"/>
        <v>0</v>
      </c>
      <c r="AU1328" s="1">
        <f t="shared" si="229"/>
        <v>0</v>
      </c>
      <c r="AV1328" s="1">
        <f t="shared" si="230"/>
        <v>0</v>
      </c>
      <c r="AW1328" s="1">
        <f t="shared" si="231"/>
        <v>0</v>
      </c>
      <c r="AX1328" s="1">
        <f t="shared" si="232"/>
        <v>0</v>
      </c>
    </row>
    <row r="1329" spans="1:50" s="1" customFormat="1" ht="24.95" customHeight="1" outlineLevel="3" x14ac:dyDescent="0.2">
      <c r="A1329" s="11"/>
      <c r="B1329" s="12">
        <v>890</v>
      </c>
      <c r="C1329" s="12">
        <v>890</v>
      </c>
      <c r="D1329" s="12">
        <v>23389</v>
      </c>
      <c r="E1329" s="13" t="s">
        <v>4362</v>
      </c>
      <c r="F1329" s="13" t="s">
        <v>4363</v>
      </c>
      <c r="G1329" s="13" t="s">
        <v>97</v>
      </c>
      <c r="H1329" s="13" t="s">
        <v>40</v>
      </c>
      <c r="I1329" s="12">
        <v>2022</v>
      </c>
      <c r="J1329" s="13" t="s">
        <v>4364</v>
      </c>
      <c r="K1329" s="12">
        <v>9785907470163</v>
      </c>
      <c r="L1329" s="13" t="s">
        <v>4365</v>
      </c>
      <c r="M1329" s="12">
        <v>224</v>
      </c>
      <c r="N1329" s="14">
        <v>0.48</v>
      </c>
      <c r="O1329" s="12">
        <v>168</v>
      </c>
      <c r="P1329" s="12">
        <v>241</v>
      </c>
      <c r="Q1329" s="12">
        <v>8</v>
      </c>
      <c r="R1329" s="13" t="s">
        <v>94</v>
      </c>
      <c r="S1329" s="13"/>
      <c r="T1329" s="15">
        <v>1500</v>
      </c>
      <c r="U1329" s="13" t="s">
        <v>52</v>
      </c>
      <c r="V1329" s="13" t="s">
        <v>59</v>
      </c>
      <c r="W1329" s="12">
        <v>10</v>
      </c>
      <c r="X1329" s="33" t="str">
        <f>HYPERLINK("https://www.alpinabook.ru/catalog/book-ekonomika-udalenki","ссылка на книгу")</f>
        <v>ссылка на книгу</v>
      </c>
      <c r="Y1329" s="34" t="str">
        <f>HYPERLINK("https://api-enni.alpina.ru/FilePrivilegesApproval/129","https://api-enni.alpina.ru/FilePrivilegesApproval/129")</f>
        <v>https://api-enni.alpina.ru/FilePrivilegesApproval/129</v>
      </c>
      <c r="Z1329" s="13"/>
      <c r="AT1329" s="1">
        <f t="shared" si="228"/>
        <v>0</v>
      </c>
      <c r="AU1329" s="1">
        <f t="shared" si="229"/>
        <v>0</v>
      </c>
      <c r="AV1329" s="1">
        <f t="shared" si="230"/>
        <v>0</v>
      </c>
      <c r="AW1329" s="1">
        <f t="shared" si="231"/>
        <v>0</v>
      </c>
      <c r="AX1329" s="1">
        <f t="shared" si="232"/>
        <v>0</v>
      </c>
    </row>
    <row r="1330" spans="1:50" s="1" customFormat="1" ht="24.95" customHeight="1" outlineLevel="3" x14ac:dyDescent="0.2">
      <c r="A1330" s="11"/>
      <c r="B1330" s="15">
        <v>2490</v>
      </c>
      <c r="C1330" s="15">
        <v>2990</v>
      </c>
      <c r="D1330" s="12">
        <v>22994</v>
      </c>
      <c r="E1330" s="13" t="s">
        <v>4366</v>
      </c>
      <c r="F1330" s="13" t="s">
        <v>4367</v>
      </c>
      <c r="G1330" s="13" t="s">
        <v>97</v>
      </c>
      <c r="H1330" s="13" t="s">
        <v>40</v>
      </c>
      <c r="I1330" s="12">
        <v>2023</v>
      </c>
      <c r="J1330" s="13" t="s">
        <v>4368</v>
      </c>
      <c r="K1330" s="12">
        <v>9785206000221</v>
      </c>
      <c r="L1330" s="13" t="s">
        <v>4369</v>
      </c>
      <c r="M1330" s="15">
        <v>1109</v>
      </c>
      <c r="N1330" s="14">
        <v>1.54</v>
      </c>
      <c r="O1330" s="12">
        <v>180</v>
      </c>
      <c r="P1330" s="12">
        <v>250</v>
      </c>
      <c r="Q1330" s="12">
        <v>2</v>
      </c>
      <c r="R1330" s="13" t="s">
        <v>94</v>
      </c>
      <c r="S1330" s="13"/>
      <c r="T1330" s="15">
        <v>1000</v>
      </c>
      <c r="U1330" s="13" t="s">
        <v>52</v>
      </c>
      <c r="V1330" s="13" t="s">
        <v>59</v>
      </c>
      <c r="W1330" s="12">
        <v>10</v>
      </c>
      <c r="X1330" s="33" t="str">
        <f>HYPERLINK("https://www.alpinabook.ru/catalog/book-ekonomika-organizatsiya-i-menedzhment","ссылка на книгу")</f>
        <v>ссылка на книгу</v>
      </c>
      <c r="Y1330" s="34" t="str">
        <f>HYPERLINK("https://api-enni.alpina.ru/FilePrivilegesApproval/168","https://api-enni.alpina.ru/FilePrivilegesApproval/168")</f>
        <v>https://api-enni.alpina.ru/FilePrivilegesApproval/168</v>
      </c>
      <c r="Z1330" s="13"/>
      <c r="AT1330" s="1">
        <f t="shared" si="228"/>
        <v>0</v>
      </c>
      <c r="AU1330" s="1">
        <f t="shared" si="229"/>
        <v>0</v>
      </c>
      <c r="AV1330" s="1">
        <f t="shared" si="230"/>
        <v>0</v>
      </c>
      <c r="AW1330" s="1">
        <f t="shared" si="231"/>
        <v>0</v>
      </c>
      <c r="AX1330" s="1">
        <f t="shared" si="232"/>
        <v>0</v>
      </c>
    </row>
    <row r="1331" spans="1:50" s="1" customFormat="1" ht="24.95" customHeight="1" outlineLevel="3" x14ac:dyDescent="0.2">
      <c r="A1331" s="11"/>
      <c r="B1331" s="12">
        <v>790</v>
      </c>
      <c r="C1331" s="15">
        <v>1190</v>
      </c>
      <c r="D1331" s="12">
        <v>29939</v>
      </c>
      <c r="E1331" s="13" t="s">
        <v>4370</v>
      </c>
      <c r="F1331" s="13" t="s">
        <v>4371</v>
      </c>
      <c r="G1331" s="13" t="s">
        <v>56</v>
      </c>
      <c r="H1331" s="13"/>
      <c r="I1331" s="12">
        <v>2025</v>
      </c>
      <c r="J1331" s="13" t="s">
        <v>4372</v>
      </c>
      <c r="K1331" s="12">
        <v>9785961494488</v>
      </c>
      <c r="L1331" s="13" t="s">
        <v>4373</v>
      </c>
      <c r="M1331" s="12">
        <v>166</v>
      </c>
      <c r="N1331" s="14">
        <v>0.31</v>
      </c>
      <c r="O1331" s="12">
        <v>150</v>
      </c>
      <c r="P1331" s="12">
        <v>220</v>
      </c>
      <c r="Q1331" s="12">
        <v>10</v>
      </c>
      <c r="R1331" s="13" t="s">
        <v>43</v>
      </c>
      <c r="S1331" s="13"/>
      <c r="T1331" s="15">
        <v>1000</v>
      </c>
      <c r="U1331" s="13" t="s">
        <v>52</v>
      </c>
      <c r="V1331" s="13" t="s">
        <v>45</v>
      </c>
      <c r="W1331" s="12">
        <v>10</v>
      </c>
      <c r="X1331" s="33" t="str">
        <f>HYPERLINK("https://www.alpinabook.ru/catalog/book-energiya-klienta","ссылка на книгу")</f>
        <v>ссылка на книгу</v>
      </c>
      <c r="Y1331" s="34" t="str">
        <f>HYPERLINK("https://api-enni.alpina.ru/FilePrivilegesApproval/72","https://api-enni.alpina.ru/FilePrivilegesApproval/72")</f>
        <v>https://api-enni.alpina.ru/FilePrivilegesApproval/72</v>
      </c>
      <c r="Z1331" s="13" t="s">
        <v>847</v>
      </c>
      <c r="AT1331" s="1">
        <f t="shared" si="228"/>
        <v>0</v>
      </c>
      <c r="AU1331" s="1">
        <f t="shared" si="229"/>
        <v>0</v>
      </c>
      <c r="AV1331" s="1">
        <f t="shared" si="230"/>
        <v>0</v>
      </c>
      <c r="AW1331" s="1">
        <f t="shared" si="231"/>
        <v>0</v>
      </c>
      <c r="AX1331" s="1">
        <f t="shared" si="232"/>
        <v>0</v>
      </c>
    </row>
    <row r="1332" spans="1:50" s="1" customFormat="1" ht="24.95" customHeight="1" outlineLevel="3" x14ac:dyDescent="0.2">
      <c r="A1332" s="11"/>
      <c r="B1332" s="12">
        <v>440</v>
      </c>
      <c r="C1332" s="12">
        <v>440</v>
      </c>
      <c r="D1332" s="12">
        <v>25885</v>
      </c>
      <c r="E1332" s="13" t="s">
        <v>4374</v>
      </c>
      <c r="F1332" s="13" t="s">
        <v>4375</v>
      </c>
      <c r="G1332" s="13" t="s">
        <v>97</v>
      </c>
      <c r="H1332" s="13"/>
      <c r="I1332" s="12">
        <v>2022</v>
      </c>
      <c r="J1332" s="13" t="s">
        <v>4376</v>
      </c>
      <c r="K1332" s="12">
        <v>9785206000436</v>
      </c>
      <c r="L1332" s="13" t="s">
        <v>4377</v>
      </c>
      <c r="M1332" s="12">
        <v>94</v>
      </c>
      <c r="N1332" s="14">
        <v>0.22</v>
      </c>
      <c r="O1332" s="12">
        <v>146</v>
      </c>
      <c r="P1332" s="12">
        <v>216</v>
      </c>
      <c r="Q1332" s="12">
        <v>16</v>
      </c>
      <c r="R1332" s="13" t="s">
        <v>43</v>
      </c>
      <c r="S1332" s="13"/>
      <c r="T1332" s="15">
        <v>1510</v>
      </c>
      <c r="U1332" s="13" t="s">
        <v>52</v>
      </c>
      <c r="V1332" s="13" t="s">
        <v>59</v>
      </c>
      <c r="W1332" s="12">
        <v>10</v>
      </c>
      <c r="X1332" s="33" t="str">
        <f>HYPERLINK("https://www.alpinabook.ru/catalog/book-ya-pm","ссылка на книгу")</f>
        <v>ссылка на книгу</v>
      </c>
      <c r="Y1332" s="34" t="str">
        <f>HYPERLINK("https://api-enni.alpina.ru/FilePrivilegesApproval/155","https://api-enni.alpina.ru/FilePrivilegesApproval/155")</f>
        <v>https://api-enni.alpina.ru/FilePrivilegesApproval/155</v>
      </c>
      <c r="Z1332" s="13"/>
      <c r="AT1332" s="1">
        <f t="shared" si="228"/>
        <v>0</v>
      </c>
      <c r="AU1332" s="1">
        <f t="shared" si="229"/>
        <v>0</v>
      </c>
      <c r="AV1332" s="1">
        <f t="shared" si="230"/>
        <v>0</v>
      </c>
      <c r="AW1332" s="1">
        <f t="shared" si="231"/>
        <v>0</v>
      </c>
      <c r="AX1332" s="1">
        <f t="shared" si="232"/>
        <v>0</v>
      </c>
    </row>
    <row r="1333" spans="1:50" ht="11.1" customHeight="1" outlineLevel="2" x14ac:dyDescent="0.2">
      <c r="A1333" s="40" t="s">
        <v>4378</v>
      </c>
      <c r="B1333" s="40"/>
      <c r="C1333" s="40"/>
      <c r="D1333" s="40"/>
      <c r="E1333" s="40"/>
      <c r="F1333" s="40"/>
      <c r="G1333" s="40"/>
      <c r="H1333" s="40"/>
      <c r="I1333" s="40"/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20"/>
    </row>
    <row r="1334" spans="1:50" s="1" customFormat="1" ht="24.95" customHeight="1" outlineLevel="3" x14ac:dyDescent="0.2">
      <c r="A1334" s="11"/>
      <c r="B1334" s="12">
        <v>840</v>
      </c>
      <c r="C1334" s="12">
        <v>840</v>
      </c>
      <c r="D1334" s="12">
        <v>26024</v>
      </c>
      <c r="E1334" s="13" t="s">
        <v>4379</v>
      </c>
      <c r="F1334" s="13" t="s">
        <v>4380</v>
      </c>
      <c r="G1334" s="13" t="s">
        <v>97</v>
      </c>
      <c r="H1334" s="13"/>
      <c r="I1334" s="12">
        <v>2023</v>
      </c>
      <c r="J1334" s="13" t="s">
        <v>4381</v>
      </c>
      <c r="K1334" s="12">
        <v>9785206000511</v>
      </c>
      <c r="L1334" s="13" t="s">
        <v>4382</v>
      </c>
      <c r="M1334" s="12">
        <v>255</v>
      </c>
      <c r="N1334" s="14">
        <v>0.5</v>
      </c>
      <c r="O1334" s="12">
        <v>170</v>
      </c>
      <c r="P1334" s="12">
        <v>250</v>
      </c>
      <c r="Q1334" s="12">
        <v>8</v>
      </c>
      <c r="R1334" s="13" t="s">
        <v>94</v>
      </c>
      <c r="S1334" s="13"/>
      <c r="T1334" s="15">
        <v>1510</v>
      </c>
      <c r="U1334" s="13" t="s">
        <v>52</v>
      </c>
      <c r="V1334" s="13" t="s">
        <v>59</v>
      </c>
      <c r="W1334" s="12">
        <v>10</v>
      </c>
      <c r="X1334" s="33" t="str">
        <f>HYPERLINK("https://www.alpinabook.ru/catalog/book-biznes-incognita","ссылка на книгу")</f>
        <v>ссылка на книгу</v>
      </c>
      <c r="Y1334" s="34" t="str">
        <f>HYPERLINK("https://api-enni.alpina.ru/FilePrivilegesApproval/168","https://api-enni.alpina.ru/FilePrivilegesApproval/168")</f>
        <v>https://api-enni.alpina.ru/FilePrivilegesApproval/168</v>
      </c>
      <c r="Z1334" s="13"/>
      <c r="AT1334" s="1">
        <f t="shared" ref="AT1334:AT1353" si="233">IF($A1334&lt;&gt;0,1,0)</f>
        <v>0</v>
      </c>
      <c r="AU1334" s="1">
        <f t="shared" ref="AU1334:AU1353" si="234">$A1334*$B1334</f>
        <v>0</v>
      </c>
      <c r="AV1334" s="1">
        <f t="shared" ref="AV1334:AV1353" si="235">$A1334*$N1334</f>
        <v>0</v>
      </c>
      <c r="AW1334" s="1">
        <f t="shared" ref="AW1334:AW1353" si="236">IF($Q1334=0,0,INT($A1334/$Q1334))</f>
        <v>0</v>
      </c>
      <c r="AX1334" s="1">
        <f t="shared" ref="AX1334:AX1353" si="237">$A1334-$AW1334*$Q1334</f>
        <v>0</v>
      </c>
    </row>
    <row r="1335" spans="1:50" s="1" customFormat="1" ht="24.95" customHeight="1" outlineLevel="3" x14ac:dyDescent="0.2">
      <c r="A1335" s="11"/>
      <c r="B1335" s="12">
        <v>690</v>
      </c>
      <c r="C1335" s="12">
        <v>990</v>
      </c>
      <c r="D1335" s="12">
        <v>31235</v>
      </c>
      <c r="E1335" s="13" t="s">
        <v>54</v>
      </c>
      <c r="F1335" s="13" t="s">
        <v>55</v>
      </c>
      <c r="G1335" s="13" t="s">
        <v>56</v>
      </c>
      <c r="H1335" s="13"/>
      <c r="I1335" s="12">
        <v>2024</v>
      </c>
      <c r="J1335" s="13" t="s">
        <v>57</v>
      </c>
      <c r="K1335" s="12">
        <v>9785961497946</v>
      </c>
      <c r="L1335" s="13" t="s">
        <v>58</v>
      </c>
      <c r="M1335" s="12">
        <v>208</v>
      </c>
      <c r="N1335" s="14">
        <v>0.35</v>
      </c>
      <c r="O1335" s="12">
        <v>150</v>
      </c>
      <c r="P1335" s="12">
        <v>220</v>
      </c>
      <c r="Q1335" s="12">
        <v>10</v>
      </c>
      <c r="R1335" s="13" t="s">
        <v>43</v>
      </c>
      <c r="S1335" s="13"/>
      <c r="T1335" s="15">
        <v>1000</v>
      </c>
      <c r="U1335" s="13" t="s">
        <v>52</v>
      </c>
      <c r="V1335" s="13" t="s">
        <v>59</v>
      </c>
      <c r="W1335" s="12">
        <v>10</v>
      </c>
      <c r="X1335" s="33" t="str">
        <f>HYPERLINK("https://www.alpinabook.ru/catalog/book-biznes-v-stile-makdonalds","ссылка на книгу")</f>
        <v>ссылка на книгу</v>
      </c>
      <c r="Y1335" s="34" t="str">
        <f>HYPERLINK("https://api-enni.alpina.ru/FilePrivilegesApproval/132","https://api-enni.alpina.ru/FilePrivilegesApproval/132")</f>
        <v>https://api-enni.alpina.ru/FilePrivilegesApproval/132</v>
      </c>
      <c r="Z1335" s="13"/>
      <c r="AT1335" s="1">
        <f t="shared" si="233"/>
        <v>0</v>
      </c>
      <c r="AU1335" s="1">
        <f t="shared" si="234"/>
        <v>0</v>
      </c>
      <c r="AV1335" s="1">
        <f t="shared" si="235"/>
        <v>0</v>
      </c>
      <c r="AW1335" s="1">
        <f t="shared" si="236"/>
        <v>0</v>
      </c>
      <c r="AX1335" s="1">
        <f t="shared" si="237"/>
        <v>0</v>
      </c>
    </row>
    <row r="1336" spans="1:50" s="1" customFormat="1" ht="24.95" customHeight="1" outlineLevel="3" x14ac:dyDescent="0.2">
      <c r="A1336" s="11"/>
      <c r="B1336" s="15">
        <v>1090</v>
      </c>
      <c r="C1336" s="15">
        <v>1590</v>
      </c>
      <c r="D1336" s="12">
        <v>4604</v>
      </c>
      <c r="E1336" s="13" t="s">
        <v>4383</v>
      </c>
      <c r="F1336" s="13" t="s">
        <v>4384</v>
      </c>
      <c r="G1336" s="13" t="s">
        <v>56</v>
      </c>
      <c r="H1336" s="13" t="s">
        <v>40</v>
      </c>
      <c r="I1336" s="12">
        <v>2025</v>
      </c>
      <c r="J1336" s="13" t="s">
        <v>4385</v>
      </c>
      <c r="K1336" s="12">
        <v>9785961459524</v>
      </c>
      <c r="L1336" s="13" t="s">
        <v>4386</v>
      </c>
      <c r="M1336" s="12">
        <v>432</v>
      </c>
      <c r="N1336" s="14">
        <v>0.66</v>
      </c>
      <c r="O1336" s="12">
        <v>163</v>
      </c>
      <c r="P1336" s="12">
        <v>235</v>
      </c>
      <c r="Q1336" s="12">
        <v>6</v>
      </c>
      <c r="R1336" s="13" t="s">
        <v>94</v>
      </c>
      <c r="S1336" s="13"/>
      <c r="T1336" s="15">
        <v>1500</v>
      </c>
      <c r="U1336" s="13" t="s">
        <v>44</v>
      </c>
      <c r="V1336" s="13" t="s">
        <v>64</v>
      </c>
      <c r="W1336" s="12">
        <v>10</v>
      </c>
      <c r="X1336" s="33" t="str">
        <f>HYPERLINK("https://www.alpinabook.ru/catalog/book-biznes-modeli","ссылка на книгу")</f>
        <v>ссылка на книгу</v>
      </c>
      <c r="Y1336" s="34" t="str">
        <f>HYPERLINK("https://api-enni.alpina.ru/FilePrivilegesApproval/2","https://api-enni.alpina.ru/FilePrivilegesApproval/2")</f>
        <v>https://api-enni.alpina.ru/FilePrivilegesApproval/2</v>
      </c>
      <c r="Z1336" s="13" t="s">
        <v>77</v>
      </c>
      <c r="AT1336" s="1">
        <f t="shared" si="233"/>
        <v>0</v>
      </c>
      <c r="AU1336" s="1">
        <f t="shared" si="234"/>
        <v>0</v>
      </c>
      <c r="AV1336" s="1">
        <f t="shared" si="235"/>
        <v>0</v>
      </c>
      <c r="AW1336" s="1">
        <f t="shared" si="236"/>
        <v>0</v>
      </c>
      <c r="AX1336" s="1">
        <f t="shared" si="237"/>
        <v>0</v>
      </c>
    </row>
    <row r="1337" spans="1:50" s="1" customFormat="1" ht="24.95" customHeight="1" outlineLevel="3" x14ac:dyDescent="0.2">
      <c r="A1337" s="11"/>
      <c r="B1337" s="12">
        <v>790</v>
      </c>
      <c r="C1337" s="15">
        <v>1190</v>
      </c>
      <c r="D1337" s="12">
        <v>23501</v>
      </c>
      <c r="E1337" s="13" t="s">
        <v>4387</v>
      </c>
      <c r="F1337" s="13" t="s">
        <v>4388</v>
      </c>
      <c r="G1337" s="13" t="s">
        <v>56</v>
      </c>
      <c r="H1337" s="13" t="s">
        <v>40</v>
      </c>
      <c r="I1337" s="12">
        <v>2025</v>
      </c>
      <c r="J1337" s="13" t="s">
        <v>4389</v>
      </c>
      <c r="K1337" s="12">
        <v>9785961472820</v>
      </c>
      <c r="L1337" s="13" t="s">
        <v>4390</v>
      </c>
      <c r="M1337" s="12">
        <v>400</v>
      </c>
      <c r="N1337" s="14">
        <v>0.59</v>
      </c>
      <c r="O1337" s="12">
        <v>150</v>
      </c>
      <c r="P1337" s="12">
        <v>220</v>
      </c>
      <c r="Q1337" s="12">
        <v>6</v>
      </c>
      <c r="R1337" s="13" t="s">
        <v>43</v>
      </c>
      <c r="S1337" s="13"/>
      <c r="T1337" s="15">
        <v>1000</v>
      </c>
      <c r="U1337" s="13" t="s">
        <v>52</v>
      </c>
      <c r="V1337" s="13" t="s">
        <v>64</v>
      </c>
      <c r="W1337" s="12">
        <v>10</v>
      </c>
      <c r="X1337" s="33" t="str">
        <f>HYPERLINK("https://www.alpinabook.ru/catalog/book-bystryy-start","ссылка на книгу")</f>
        <v>ссылка на книгу</v>
      </c>
      <c r="Y1337" s="34" t="str">
        <f>HYPERLINK("https://api-enni.alpina.ru/FilePrivilegesApproval/132","https://api-enni.alpina.ru/FilePrivilegesApproval/132")</f>
        <v>https://api-enni.alpina.ru/FilePrivilegesApproval/132</v>
      </c>
      <c r="Z1337" s="13" t="s">
        <v>1222</v>
      </c>
      <c r="AT1337" s="1">
        <f t="shared" si="233"/>
        <v>0</v>
      </c>
      <c r="AU1337" s="1">
        <f t="shared" si="234"/>
        <v>0</v>
      </c>
      <c r="AV1337" s="1">
        <f t="shared" si="235"/>
        <v>0</v>
      </c>
      <c r="AW1337" s="1">
        <f t="shared" si="236"/>
        <v>0</v>
      </c>
      <c r="AX1337" s="1">
        <f t="shared" si="237"/>
        <v>0</v>
      </c>
    </row>
    <row r="1338" spans="1:50" s="1" customFormat="1" ht="24.95" customHeight="1" outlineLevel="3" x14ac:dyDescent="0.2">
      <c r="A1338" s="11"/>
      <c r="B1338" s="15">
        <v>2290</v>
      </c>
      <c r="C1338" s="15">
        <v>2290</v>
      </c>
      <c r="D1338" s="12">
        <v>17660</v>
      </c>
      <c r="E1338" s="13" t="s">
        <v>4391</v>
      </c>
      <c r="F1338" s="13" t="s">
        <v>4392</v>
      </c>
      <c r="G1338" s="13" t="s">
        <v>97</v>
      </c>
      <c r="H1338" s="13" t="s">
        <v>40</v>
      </c>
      <c r="I1338" s="12">
        <v>2022</v>
      </c>
      <c r="J1338" s="13" t="s">
        <v>4393</v>
      </c>
      <c r="K1338" s="12">
        <v>9785907394889</v>
      </c>
      <c r="L1338" s="13" t="s">
        <v>4394</v>
      </c>
      <c r="M1338" s="12">
        <v>634</v>
      </c>
      <c r="N1338" s="14">
        <v>1.1000000000000001</v>
      </c>
      <c r="O1338" s="12">
        <v>171</v>
      </c>
      <c r="P1338" s="12">
        <v>241</v>
      </c>
      <c r="Q1338" s="12">
        <v>1</v>
      </c>
      <c r="R1338" s="13" t="s">
        <v>94</v>
      </c>
      <c r="S1338" s="13"/>
      <c r="T1338" s="15">
        <v>1000</v>
      </c>
      <c r="U1338" s="13" t="s">
        <v>52</v>
      </c>
      <c r="V1338" s="13" t="s">
        <v>59</v>
      </c>
      <c r="W1338" s="12">
        <v>10</v>
      </c>
      <c r="X1338" s="33" t="str">
        <f>HYPERLINK("https://www.alpinabook.ru/catalog/book-gos-chastnoe-partnerstvo","ссылка на книгу")</f>
        <v>ссылка на книгу</v>
      </c>
      <c r="Y1338" s="34" t="str">
        <f>HYPERLINK("https://api-enni.alpina.ru/FilePrivilegesApproval/155","https://api-enni.alpina.ru/FilePrivilegesApproval/155")</f>
        <v>https://api-enni.alpina.ru/FilePrivilegesApproval/155</v>
      </c>
      <c r="Z1338" s="13"/>
      <c r="AT1338" s="1">
        <f t="shared" si="233"/>
        <v>0</v>
      </c>
      <c r="AU1338" s="1">
        <f t="shared" si="234"/>
        <v>0</v>
      </c>
      <c r="AV1338" s="1">
        <f t="shared" si="235"/>
        <v>0</v>
      </c>
      <c r="AW1338" s="1">
        <f t="shared" si="236"/>
        <v>0</v>
      </c>
      <c r="AX1338" s="1">
        <f t="shared" si="237"/>
        <v>0</v>
      </c>
    </row>
    <row r="1339" spans="1:50" s="1" customFormat="1" ht="24.95" customHeight="1" outlineLevel="3" x14ac:dyDescent="0.2">
      <c r="A1339" s="11"/>
      <c r="B1339" s="12">
        <v>840</v>
      </c>
      <c r="C1339" s="15">
        <v>1290</v>
      </c>
      <c r="D1339" s="12">
        <v>7718</v>
      </c>
      <c r="E1339" s="13" t="s">
        <v>4395</v>
      </c>
      <c r="F1339" s="13" t="s">
        <v>4396</v>
      </c>
      <c r="G1339" s="13" t="s">
        <v>56</v>
      </c>
      <c r="H1339" s="13" t="s">
        <v>40</v>
      </c>
      <c r="I1339" s="12">
        <v>2025</v>
      </c>
      <c r="J1339" s="13" t="s">
        <v>4397</v>
      </c>
      <c r="K1339" s="12">
        <v>9785961467864</v>
      </c>
      <c r="L1339" s="13" t="s">
        <v>4398</v>
      </c>
      <c r="M1339" s="12">
        <v>248</v>
      </c>
      <c r="N1339" s="14">
        <v>0.53</v>
      </c>
      <c r="O1339" s="12">
        <v>171</v>
      </c>
      <c r="P1339" s="12">
        <v>241</v>
      </c>
      <c r="Q1339" s="12">
        <v>6</v>
      </c>
      <c r="R1339" s="13" t="s">
        <v>94</v>
      </c>
      <c r="S1339" s="13"/>
      <c r="T1339" s="15">
        <v>1000</v>
      </c>
      <c r="U1339" s="13" t="s">
        <v>52</v>
      </c>
      <c r="V1339" s="13" t="s">
        <v>64</v>
      </c>
      <c r="W1339" s="12">
        <v>10</v>
      </c>
      <c r="X1339" s="33" t="str">
        <f>HYPERLINK("https://www.alpinabook.ru/catalog/book-kak-sozdat-produkt-kotoryy-kupyat","ссылка на книгу")</f>
        <v>ссылка на книгу</v>
      </c>
      <c r="Y1339" s="34" t="str">
        <f>HYPERLINK("https://api-enni.alpina.ru/FilePrivilegesApproval/156","https://api-enni.alpina.ru/FilePrivilegesApproval/156")</f>
        <v>https://api-enni.alpina.ru/FilePrivilegesApproval/156</v>
      </c>
      <c r="Z1339" s="13" t="s">
        <v>847</v>
      </c>
      <c r="AT1339" s="1">
        <f t="shared" si="233"/>
        <v>0</v>
      </c>
      <c r="AU1339" s="1">
        <f t="shared" si="234"/>
        <v>0</v>
      </c>
      <c r="AV1339" s="1">
        <f t="shared" si="235"/>
        <v>0</v>
      </c>
      <c r="AW1339" s="1">
        <f t="shared" si="236"/>
        <v>0</v>
      </c>
      <c r="AX1339" s="1">
        <f t="shared" si="237"/>
        <v>0</v>
      </c>
    </row>
    <row r="1340" spans="1:50" s="1" customFormat="1" ht="24.95" customHeight="1" outlineLevel="3" x14ac:dyDescent="0.2">
      <c r="A1340" s="11"/>
      <c r="B1340" s="15">
        <v>1090</v>
      </c>
      <c r="C1340" s="15">
        <v>1090</v>
      </c>
      <c r="D1340" s="12">
        <v>12357</v>
      </c>
      <c r="E1340" s="13" t="s">
        <v>4399</v>
      </c>
      <c r="F1340" s="13" t="s">
        <v>4400</v>
      </c>
      <c r="G1340" s="13" t="s">
        <v>56</v>
      </c>
      <c r="H1340" s="13" t="s">
        <v>40</v>
      </c>
      <c r="I1340" s="12">
        <v>2021</v>
      </c>
      <c r="J1340" s="13" t="s">
        <v>4401</v>
      </c>
      <c r="K1340" s="12">
        <v>9785961436389</v>
      </c>
      <c r="L1340" s="13" t="s">
        <v>4402</v>
      </c>
      <c r="M1340" s="12">
        <v>288</v>
      </c>
      <c r="N1340" s="14">
        <v>0.76</v>
      </c>
      <c r="O1340" s="12">
        <v>240</v>
      </c>
      <c r="P1340" s="12">
        <v>210</v>
      </c>
      <c r="Q1340" s="12">
        <v>8</v>
      </c>
      <c r="R1340" s="13" t="s">
        <v>167</v>
      </c>
      <c r="S1340" s="13"/>
      <c r="T1340" s="15">
        <v>2000</v>
      </c>
      <c r="U1340" s="13" t="s">
        <v>44</v>
      </c>
      <c r="V1340" s="13" t="s">
        <v>59</v>
      </c>
      <c r="W1340" s="12">
        <v>10</v>
      </c>
      <c r="X1340" s="33" t="str">
        <f>HYPERLINK("https://www.alpinabook.ru/catalog/book-666302","ссылка на книгу")</f>
        <v>ссылка на книгу</v>
      </c>
      <c r="Y1340" s="34" t="str">
        <f>HYPERLINK("https://api-enni.alpina.ru/FilePrivilegesApproval/72","https://api-enni.alpina.ru/FilePrivilegesApproval/72")</f>
        <v>https://api-enni.alpina.ru/FilePrivilegesApproval/72</v>
      </c>
      <c r="Z1340" s="13"/>
      <c r="AT1340" s="1">
        <f t="shared" si="233"/>
        <v>0</v>
      </c>
      <c r="AU1340" s="1">
        <f t="shared" si="234"/>
        <v>0</v>
      </c>
      <c r="AV1340" s="1">
        <f t="shared" si="235"/>
        <v>0</v>
      </c>
      <c r="AW1340" s="1">
        <f t="shared" si="236"/>
        <v>0</v>
      </c>
      <c r="AX1340" s="1">
        <f t="shared" si="237"/>
        <v>0</v>
      </c>
    </row>
    <row r="1341" spans="1:50" s="1" customFormat="1" ht="24.95" customHeight="1" outlineLevel="3" x14ac:dyDescent="0.2">
      <c r="A1341" s="11"/>
      <c r="B1341" s="15">
        <v>1290</v>
      </c>
      <c r="C1341" s="15">
        <v>1790</v>
      </c>
      <c r="D1341" s="12">
        <v>5754</v>
      </c>
      <c r="E1341" s="13" t="s">
        <v>313</v>
      </c>
      <c r="F1341" s="13" t="s">
        <v>553</v>
      </c>
      <c r="G1341" s="13" t="s">
        <v>56</v>
      </c>
      <c r="H1341" s="13" t="s">
        <v>40</v>
      </c>
      <c r="I1341" s="12">
        <v>2025</v>
      </c>
      <c r="J1341" s="13" t="s">
        <v>554</v>
      </c>
      <c r="K1341" s="12">
        <v>9785961407181</v>
      </c>
      <c r="L1341" s="13" t="s">
        <v>555</v>
      </c>
      <c r="M1341" s="12">
        <v>350</v>
      </c>
      <c r="N1341" s="14">
        <v>0.68</v>
      </c>
      <c r="O1341" s="12">
        <v>168</v>
      </c>
      <c r="P1341" s="12">
        <v>241</v>
      </c>
      <c r="Q1341" s="12">
        <v>6</v>
      </c>
      <c r="R1341" s="13" t="s">
        <v>94</v>
      </c>
      <c r="S1341" s="13"/>
      <c r="T1341" s="15">
        <v>1000</v>
      </c>
      <c r="U1341" s="13" t="s">
        <v>52</v>
      </c>
      <c r="V1341" s="13" t="s">
        <v>64</v>
      </c>
      <c r="W1341" s="12">
        <v>10</v>
      </c>
      <c r="X1341" s="33" t="str">
        <f>HYPERLINK("https://www.alpinabook.ru/catalog/book-metod-startapa","ссылка на книгу")</f>
        <v>ссылка на книгу</v>
      </c>
      <c r="Y1341" s="34" t="str">
        <f>HYPERLINK("https://api-enni.alpina.ru/FilePrivilegesApproval/164","https://api-enni.alpina.ru/FilePrivilegesApproval/164")</f>
        <v>https://api-enni.alpina.ru/FilePrivilegesApproval/164</v>
      </c>
      <c r="Z1341" s="13" t="s">
        <v>282</v>
      </c>
      <c r="AT1341" s="1">
        <f t="shared" si="233"/>
        <v>0</v>
      </c>
      <c r="AU1341" s="1">
        <f t="shared" si="234"/>
        <v>0</v>
      </c>
      <c r="AV1341" s="1">
        <f t="shared" si="235"/>
        <v>0</v>
      </c>
      <c r="AW1341" s="1">
        <f t="shared" si="236"/>
        <v>0</v>
      </c>
      <c r="AX1341" s="1">
        <f t="shared" si="237"/>
        <v>0</v>
      </c>
    </row>
    <row r="1342" spans="1:50" s="1" customFormat="1" ht="24.95" customHeight="1" outlineLevel="3" x14ac:dyDescent="0.2">
      <c r="A1342" s="26"/>
      <c r="B1342" s="27">
        <v>590</v>
      </c>
      <c r="C1342" s="27">
        <v>840</v>
      </c>
      <c r="D1342" s="27">
        <v>19391</v>
      </c>
      <c r="E1342" s="29" t="s">
        <v>4403</v>
      </c>
      <c r="F1342" s="29" t="s">
        <v>4404</v>
      </c>
      <c r="G1342" s="29" t="s">
        <v>56</v>
      </c>
      <c r="H1342" s="29"/>
      <c r="I1342" s="27">
        <v>2021</v>
      </c>
      <c r="J1342" s="29" t="s">
        <v>4405</v>
      </c>
      <c r="K1342" s="27">
        <v>9785961440119</v>
      </c>
      <c r="L1342" s="29" t="s">
        <v>4406</v>
      </c>
      <c r="M1342" s="27">
        <v>174</v>
      </c>
      <c r="N1342" s="30">
        <v>0.46</v>
      </c>
      <c r="O1342" s="27">
        <v>168</v>
      </c>
      <c r="P1342" s="27">
        <v>241</v>
      </c>
      <c r="Q1342" s="27">
        <v>10</v>
      </c>
      <c r="R1342" s="29" t="s">
        <v>94</v>
      </c>
      <c r="S1342" s="29"/>
      <c r="T1342" s="28">
        <v>1500</v>
      </c>
      <c r="U1342" s="29" t="s">
        <v>52</v>
      </c>
      <c r="V1342" s="29" t="s">
        <v>64</v>
      </c>
      <c r="W1342" s="27">
        <v>10</v>
      </c>
      <c r="X1342" s="37" t="str">
        <f>HYPERLINK("https://www.alpinabook.ru/catalog/book-674260","ссылка на книгу")</f>
        <v>ссылка на книгу</v>
      </c>
      <c r="Y1342" s="38" t="str">
        <f>HYPERLINK("https://api-enni.alpina.ru/FilePrivilegesApproval/100","https://api-enni.alpina.ru/FilePrivilegesApproval/100")</f>
        <v>https://api-enni.alpina.ru/FilePrivilegesApproval/100</v>
      </c>
      <c r="Z1342" s="29"/>
      <c r="AT1342" s="1">
        <f t="shared" si="233"/>
        <v>0</v>
      </c>
      <c r="AU1342" s="1">
        <f t="shared" si="234"/>
        <v>0</v>
      </c>
      <c r="AV1342" s="1">
        <f t="shared" si="235"/>
        <v>0</v>
      </c>
      <c r="AW1342" s="1">
        <f t="shared" si="236"/>
        <v>0</v>
      </c>
      <c r="AX1342" s="1">
        <f t="shared" si="237"/>
        <v>0</v>
      </c>
    </row>
    <row r="1343" spans="1:50" s="1" customFormat="1" ht="24.95" customHeight="1" outlineLevel="3" x14ac:dyDescent="0.2">
      <c r="A1343" s="11"/>
      <c r="B1343" s="12">
        <v>690</v>
      </c>
      <c r="C1343" s="12">
        <v>990</v>
      </c>
      <c r="D1343" s="12">
        <v>31177</v>
      </c>
      <c r="E1343" s="13" t="s">
        <v>4407</v>
      </c>
      <c r="F1343" s="13" t="s">
        <v>4408</v>
      </c>
      <c r="G1343" s="13" t="s">
        <v>97</v>
      </c>
      <c r="H1343" s="13" t="s">
        <v>40</v>
      </c>
      <c r="I1343" s="12">
        <v>2024</v>
      </c>
      <c r="J1343" s="13" t="s">
        <v>4409</v>
      </c>
      <c r="K1343" s="12">
        <v>9785206003536</v>
      </c>
      <c r="L1343" s="13" t="s">
        <v>4410</v>
      </c>
      <c r="M1343" s="12">
        <v>226</v>
      </c>
      <c r="N1343" s="14">
        <v>0.38</v>
      </c>
      <c r="O1343" s="12">
        <v>150</v>
      </c>
      <c r="P1343" s="12">
        <v>220</v>
      </c>
      <c r="Q1343" s="12">
        <v>7</v>
      </c>
      <c r="R1343" s="13" t="s">
        <v>43</v>
      </c>
      <c r="S1343" s="13"/>
      <c r="T1343" s="15">
        <v>1000</v>
      </c>
      <c r="U1343" s="13" t="s">
        <v>52</v>
      </c>
      <c r="V1343" s="13" t="s">
        <v>45</v>
      </c>
      <c r="W1343" s="12">
        <v>10</v>
      </c>
      <c r="X1343" s="33" t="str">
        <f>HYPERLINK("https://www.alpinabook.ru/catalog/book-oazis-vozmozhnostey","ссылка на книгу")</f>
        <v>ссылка на книгу</v>
      </c>
      <c r="Y1343" s="34" t="str">
        <f>HYPERLINK("https://api-enni.alpina.ru/FilePrivilegesApproval/570","https://api-enni.alpina.ru/FilePrivilegesApproval/570")</f>
        <v>https://api-enni.alpina.ru/FilePrivilegesApproval/570</v>
      </c>
      <c r="Z1343" s="13"/>
      <c r="AT1343" s="1">
        <f t="shared" si="233"/>
        <v>0</v>
      </c>
      <c r="AU1343" s="1">
        <f t="shared" si="234"/>
        <v>0</v>
      </c>
      <c r="AV1343" s="1">
        <f t="shared" si="235"/>
        <v>0</v>
      </c>
      <c r="AW1343" s="1">
        <f t="shared" si="236"/>
        <v>0</v>
      </c>
      <c r="AX1343" s="1">
        <f t="shared" si="237"/>
        <v>0</v>
      </c>
    </row>
    <row r="1344" spans="1:50" s="1" customFormat="1" ht="24.95" customHeight="1" outlineLevel="3" x14ac:dyDescent="0.2">
      <c r="A1344" s="11"/>
      <c r="B1344" s="12">
        <v>690</v>
      </c>
      <c r="C1344" s="12">
        <v>690</v>
      </c>
      <c r="D1344" s="12">
        <v>26567</v>
      </c>
      <c r="E1344" s="13" t="s">
        <v>4411</v>
      </c>
      <c r="F1344" s="13" t="s">
        <v>4412</v>
      </c>
      <c r="G1344" s="13" t="s">
        <v>97</v>
      </c>
      <c r="H1344" s="13"/>
      <c r="I1344" s="12">
        <v>2023</v>
      </c>
      <c r="J1344" s="13" t="s">
        <v>4413</v>
      </c>
      <c r="K1344" s="12">
        <v>9785206000917</v>
      </c>
      <c r="L1344" s="13" t="s">
        <v>4414</v>
      </c>
      <c r="M1344" s="12">
        <v>138</v>
      </c>
      <c r="N1344" s="14">
        <v>0.36</v>
      </c>
      <c r="O1344" s="12">
        <v>168</v>
      </c>
      <c r="P1344" s="12">
        <v>241</v>
      </c>
      <c r="Q1344" s="12">
        <v>10</v>
      </c>
      <c r="R1344" s="13" t="s">
        <v>94</v>
      </c>
      <c r="S1344" s="13"/>
      <c r="T1344" s="15">
        <v>1010</v>
      </c>
      <c r="U1344" s="13" t="s">
        <v>52</v>
      </c>
      <c r="V1344" s="13" t="s">
        <v>59</v>
      </c>
      <c r="W1344" s="12">
        <v>10</v>
      </c>
      <c r="X1344" s="33" t="str">
        <f>HYPERLINK("https://www.alpinabook.ru/catalog/book-odisseya-rossiyskogo-top-menedzhera","ссылка на книгу")</f>
        <v>ссылка на книгу</v>
      </c>
      <c r="Y1344" s="34" t="str">
        <f>HYPERLINK("https://api-enni.alpina.ru/FilePrivilegesApproval/168","https://api-enni.alpina.ru/FilePrivilegesApproval/168")</f>
        <v>https://api-enni.alpina.ru/FilePrivilegesApproval/168</v>
      </c>
      <c r="Z1344" s="13"/>
      <c r="AT1344" s="1">
        <f t="shared" si="233"/>
        <v>0</v>
      </c>
      <c r="AU1344" s="1">
        <f t="shared" si="234"/>
        <v>0</v>
      </c>
      <c r="AV1344" s="1">
        <f t="shared" si="235"/>
        <v>0</v>
      </c>
      <c r="AW1344" s="1">
        <f t="shared" si="236"/>
        <v>0</v>
      </c>
      <c r="AX1344" s="1">
        <f t="shared" si="237"/>
        <v>0</v>
      </c>
    </row>
    <row r="1345" spans="1:50" s="1" customFormat="1" ht="24.95" customHeight="1" outlineLevel="3" x14ac:dyDescent="0.2">
      <c r="A1345" s="11"/>
      <c r="B1345" s="12">
        <v>690</v>
      </c>
      <c r="C1345" s="12">
        <v>690</v>
      </c>
      <c r="D1345" s="12">
        <v>22718</v>
      </c>
      <c r="E1345" s="13" t="s">
        <v>4415</v>
      </c>
      <c r="F1345" s="13" t="s">
        <v>4416</v>
      </c>
      <c r="G1345" s="13" t="s">
        <v>97</v>
      </c>
      <c r="H1345" s="13"/>
      <c r="I1345" s="12">
        <v>2021</v>
      </c>
      <c r="J1345" s="13" t="s">
        <v>4417</v>
      </c>
      <c r="K1345" s="12">
        <v>9785961461107</v>
      </c>
      <c r="L1345" s="13" t="s">
        <v>4418</v>
      </c>
      <c r="M1345" s="12">
        <v>192</v>
      </c>
      <c r="N1345" s="14">
        <v>0.32</v>
      </c>
      <c r="O1345" s="12">
        <v>146</v>
      </c>
      <c r="P1345" s="12">
        <v>216</v>
      </c>
      <c r="Q1345" s="12">
        <v>14</v>
      </c>
      <c r="R1345" s="13" t="s">
        <v>43</v>
      </c>
      <c r="S1345" s="13"/>
      <c r="T1345" s="15">
        <v>2000</v>
      </c>
      <c r="U1345" s="13" t="s">
        <v>52</v>
      </c>
      <c r="V1345" s="13" t="s">
        <v>59</v>
      </c>
      <c r="W1345" s="12">
        <v>10</v>
      </c>
      <c r="X1345" s="33" t="str">
        <f>HYPERLINK("https://www.alpinabook.ru/catalog/book-725916","ссылка на книгу")</f>
        <v>ссылка на книгу</v>
      </c>
      <c r="Y1345" s="34" t="str">
        <f>HYPERLINK("https://api-enni.alpina.ru/FilePrivilegesApproval/120","https://api-enni.alpina.ru/FilePrivilegesApproval/120")</f>
        <v>https://api-enni.alpina.ru/FilePrivilegesApproval/120</v>
      </c>
      <c r="Z1345" s="13"/>
      <c r="AT1345" s="1">
        <f t="shared" si="233"/>
        <v>0</v>
      </c>
      <c r="AU1345" s="1">
        <f t="shared" si="234"/>
        <v>0</v>
      </c>
      <c r="AV1345" s="1">
        <f t="shared" si="235"/>
        <v>0</v>
      </c>
      <c r="AW1345" s="1">
        <f t="shared" si="236"/>
        <v>0</v>
      </c>
      <c r="AX1345" s="1">
        <f t="shared" si="237"/>
        <v>0</v>
      </c>
    </row>
    <row r="1346" spans="1:50" s="1" customFormat="1" ht="24.95" customHeight="1" outlineLevel="3" x14ac:dyDescent="0.2">
      <c r="A1346" s="11"/>
      <c r="B1346" s="12">
        <v>790</v>
      </c>
      <c r="C1346" s="15">
        <v>1190</v>
      </c>
      <c r="D1346" s="12">
        <v>8737</v>
      </c>
      <c r="E1346" s="13" t="s">
        <v>634</v>
      </c>
      <c r="F1346" s="13" t="s">
        <v>635</v>
      </c>
      <c r="G1346" s="13" t="s">
        <v>56</v>
      </c>
      <c r="H1346" s="13" t="s">
        <v>40</v>
      </c>
      <c r="I1346" s="12">
        <v>2025</v>
      </c>
      <c r="J1346" s="13" t="s">
        <v>636</v>
      </c>
      <c r="K1346" s="12">
        <v>9785961412451</v>
      </c>
      <c r="L1346" s="13" t="s">
        <v>637</v>
      </c>
      <c r="M1346" s="12">
        <v>288</v>
      </c>
      <c r="N1346" s="14">
        <v>0.56999999999999995</v>
      </c>
      <c r="O1346" s="12">
        <v>171</v>
      </c>
      <c r="P1346" s="12">
        <v>241</v>
      </c>
      <c r="Q1346" s="12">
        <v>5</v>
      </c>
      <c r="R1346" s="13" t="s">
        <v>94</v>
      </c>
      <c r="S1346" s="13"/>
      <c r="T1346" s="15">
        <v>1000</v>
      </c>
      <c r="U1346" s="13" t="s">
        <v>52</v>
      </c>
      <c r="V1346" s="13" t="s">
        <v>64</v>
      </c>
      <c r="W1346" s="12">
        <v>10</v>
      </c>
      <c r="X1346" s="33" t="str">
        <f>HYPERLINK("https://www.alpinabook.ru/catalog/book-platforma","ссылка на книгу")</f>
        <v>ссылка на книгу</v>
      </c>
      <c r="Y1346" s="34" t="str">
        <f>HYPERLINK("https://api-enni.alpina.ru/FilePrivilegesApproval/152","https://api-enni.alpina.ru/FilePrivilegesApproval/152")</f>
        <v>https://api-enni.alpina.ru/FilePrivilegesApproval/152</v>
      </c>
      <c r="Z1346" s="13" t="s">
        <v>282</v>
      </c>
      <c r="AT1346" s="1">
        <f t="shared" si="233"/>
        <v>0</v>
      </c>
      <c r="AU1346" s="1">
        <f t="shared" si="234"/>
        <v>0</v>
      </c>
      <c r="AV1346" s="1">
        <f t="shared" si="235"/>
        <v>0</v>
      </c>
      <c r="AW1346" s="1">
        <f t="shared" si="236"/>
        <v>0</v>
      </c>
      <c r="AX1346" s="1">
        <f t="shared" si="237"/>
        <v>0</v>
      </c>
    </row>
    <row r="1347" spans="1:50" s="1" customFormat="1" ht="24.95" customHeight="1" outlineLevel="3" x14ac:dyDescent="0.2">
      <c r="A1347" s="11"/>
      <c r="B1347" s="12">
        <v>890</v>
      </c>
      <c r="C1347" s="15">
        <v>1290</v>
      </c>
      <c r="D1347" s="12">
        <v>12506</v>
      </c>
      <c r="E1347" s="13" t="s">
        <v>4419</v>
      </c>
      <c r="F1347" s="13" t="s">
        <v>4420</v>
      </c>
      <c r="G1347" s="13" t="s">
        <v>56</v>
      </c>
      <c r="H1347" s="13" t="s">
        <v>40</v>
      </c>
      <c r="I1347" s="12">
        <v>2024</v>
      </c>
      <c r="J1347" s="13" t="s">
        <v>4421</v>
      </c>
      <c r="K1347" s="12">
        <v>9785961438598</v>
      </c>
      <c r="L1347" s="13" t="s">
        <v>4422</v>
      </c>
      <c r="M1347" s="12">
        <v>334</v>
      </c>
      <c r="N1347" s="14">
        <v>0.49</v>
      </c>
      <c r="O1347" s="12">
        <v>146</v>
      </c>
      <c r="P1347" s="12">
        <v>216</v>
      </c>
      <c r="Q1347" s="12">
        <v>5</v>
      </c>
      <c r="R1347" s="13" t="s">
        <v>43</v>
      </c>
      <c r="S1347" s="13"/>
      <c r="T1347" s="15">
        <v>1000</v>
      </c>
      <c r="U1347" s="13" t="s">
        <v>52</v>
      </c>
      <c r="V1347" s="13" t="s">
        <v>59</v>
      </c>
      <c r="W1347" s="12">
        <v>10</v>
      </c>
      <c r="X1347" s="33" t="str">
        <f>HYPERLINK("https://www.alpinabook.ru/catalog/book-tsifrovaya-transformatsiya","ссылка на книгу")</f>
        <v>ссылка на книгу</v>
      </c>
      <c r="Y1347" s="34" t="str">
        <f>HYPERLINK("https://api-enni.alpina.ru/FilePrivilegesApproval/72","https://api-enni.alpina.ru/FilePrivilegesApproval/72")</f>
        <v>https://api-enni.alpina.ru/FilePrivilegesApproval/72</v>
      </c>
      <c r="Z1347" s="13"/>
      <c r="AT1347" s="1">
        <f t="shared" si="233"/>
        <v>0</v>
      </c>
      <c r="AU1347" s="1">
        <f t="shared" si="234"/>
        <v>0</v>
      </c>
      <c r="AV1347" s="1">
        <f t="shared" si="235"/>
        <v>0</v>
      </c>
      <c r="AW1347" s="1">
        <f t="shared" si="236"/>
        <v>0</v>
      </c>
      <c r="AX1347" s="1">
        <f t="shared" si="237"/>
        <v>0</v>
      </c>
    </row>
    <row r="1348" spans="1:50" s="1" customFormat="1" ht="24.95" customHeight="1" outlineLevel="3" x14ac:dyDescent="0.2">
      <c r="A1348" s="11"/>
      <c r="B1348" s="15">
        <v>1690</v>
      </c>
      <c r="C1348" s="15">
        <v>2190</v>
      </c>
      <c r="D1348" s="12">
        <v>4448</v>
      </c>
      <c r="E1348" s="13" t="s">
        <v>686</v>
      </c>
      <c r="F1348" s="13" t="s">
        <v>687</v>
      </c>
      <c r="G1348" s="13" t="s">
        <v>56</v>
      </c>
      <c r="H1348" s="13" t="s">
        <v>40</v>
      </c>
      <c r="I1348" s="12">
        <v>2025</v>
      </c>
      <c r="J1348" s="13" t="s">
        <v>688</v>
      </c>
      <c r="K1348" s="12">
        <v>9785961467475</v>
      </c>
      <c r="L1348" s="13" t="s">
        <v>689</v>
      </c>
      <c r="M1348" s="12">
        <v>312</v>
      </c>
      <c r="N1348" s="14">
        <v>0.74</v>
      </c>
      <c r="O1348" s="12">
        <v>240</v>
      </c>
      <c r="P1348" s="12">
        <v>190</v>
      </c>
      <c r="Q1348" s="12">
        <v>6</v>
      </c>
      <c r="R1348" s="13" t="s">
        <v>167</v>
      </c>
      <c r="S1348" s="13" t="s">
        <v>690</v>
      </c>
      <c r="T1348" s="15">
        <v>2000</v>
      </c>
      <c r="U1348" s="13" t="s">
        <v>44</v>
      </c>
      <c r="V1348" s="13" t="s">
        <v>64</v>
      </c>
      <c r="W1348" s="12">
        <v>10</v>
      </c>
      <c r="X1348" s="33" t="str">
        <f>HYPERLINK("https://www.alpinabook.ru/catalog/book-razrabotka-tsennostnykh-predlozheniy","ссылка на книгу")</f>
        <v>ссылка на книгу</v>
      </c>
      <c r="Y1348" s="34" t="str">
        <f>HYPERLINK("https://api-enni.alpina.ru/FilePrivilegesApproval/2","https://api-enni.alpina.ru/FilePrivilegesApproval/2")</f>
        <v>https://api-enni.alpina.ru/FilePrivilegesApproval/2</v>
      </c>
      <c r="Z1348" s="13" t="s">
        <v>132</v>
      </c>
      <c r="AT1348" s="1">
        <f t="shared" si="233"/>
        <v>0</v>
      </c>
      <c r="AU1348" s="1">
        <f t="shared" si="234"/>
        <v>0</v>
      </c>
      <c r="AV1348" s="1">
        <f t="shared" si="235"/>
        <v>0</v>
      </c>
      <c r="AW1348" s="1">
        <f t="shared" si="236"/>
        <v>0</v>
      </c>
      <c r="AX1348" s="1">
        <f t="shared" si="237"/>
        <v>0</v>
      </c>
    </row>
    <row r="1349" spans="1:50" s="1" customFormat="1" ht="24.95" customHeight="1" outlineLevel="3" x14ac:dyDescent="0.2">
      <c r="A1349" s="26"/>
      <c r="B1349" s="28">
        <v>1890</v>
      </c>
      <c r="C1349" s="28">
        <v>2390</v>
      </c>
      <c r="D1349" s="27">
        <v>11274</v>
      </c>
      <c r="E1349" s="29" t="s">
        <v>4423</v>
      </c>
      <c r="F1349" s="29" t="s">
        <v>4424</v>
      </c>
      <c r="G1349" s="29" t="s">
        <v>56</v>
      </c>
      <c r="H1349" s="29" t="s">
        <v>40</v>
      </c>
      <c r="I1349" s="27">
        <v>2023</v>
      </c>
      <c r="J1349" s="29" t="s">
        <v>4425</v>
      </c>
      <c r="K1349" s="27">
        <v>9785961481464</v>
      </c>
      <c r="L1349" s="29" t="s">
        <v>4426</v>
      </c>
      <c r="M1349" s="27">
        <v>560</v>
      </c>
      <c r="N1349" s="30">
        <v>1.03</v>
      </c>
      <c r="O1349" s="27">
        <v>190</v>
      </c>
      <c r="P1349" s="27">
        <v>240</v>
      </c>
      <c r="Q1349" s="27">
        <v>6</v>
      </c>
      <c r="R1349" s="29" t="s">
        <v>167</v>
      </c>
      <c r="S1349" s="29"/>
      <c r="T1349" s="28">
        <v>2000</v>
      </c>
      <c r="U1349" s="29" t="s">
        <v>44</v>
      </c>
      <c r="V1349" s="29" t="s">
        <v>59</v>
      </c>
      <c r="W1349" s="27">
        <v>10</v>
      </c>
      <c r="X1349" s="37" t="str">
        <f>HYPERLINK("https://www.alpinabook.ru/catalog/book-servis-dizayn-na-praktike","ссылка на книгу")</f>
        <v>ссылка на книгу</v>
      </c>
      <c r="Y1349" s="38" t="str">
        <f>HYPERLINK("https://api-enni.alpina.ru/FilePrivilegesApproval/172","https://api-enni.alpina.ru/FilePrivilegesApproval/172")</f>
        <v>https://api-enni.alpina.ru/FilePrivilegesApproval/172</v>
      </c>
      <c r="Z1349" s="29"/>
      <c r="AT1349" s="1">
        <f t="shared" si="233"/>
        <v>0</v>
      </c>
      <c r="AU1349" s="1">
        <f t="shared" si="234"/>
        <v>0</v>
      </c>
      <c r="AV1349" s="1">
        <f t="shared" si="235"/>
        <v>0</v>
      </c>
      <c r="AW1349" s="1">
        <f t="shared" si="236"/>
        <v>0</v>
      </c>
      <c r="AX1349" s="1">
        <f t="shared" si="237"/>
        <v>0</v>
      </c>
    </row>
    <row r="1350" spans="1:50" s="1" customFormat="1" ht="24.95" customHeight="1" outlineLevel="3" x14ac:dyDescent="0.2">
      <c r="A1350" s="11"/>
      <c r="B1350" s="12">
        <v>790</v>
      </c>
      <c r="C1350" s="12">
        <v>790</v>
      </c>
      <c r="D1350" s="12">
        <v>24639</v>
      </c>
      <c r="E1350" s="13" t="s">
        <v>4427</v>
      </c>
      <c r="F1350" s="13" t="s">
        <v>4428</v>
      </c>
      <c r="G1350" s="13" t="s">
        <v>97</v>
      </c>
      <c r="H1350" s="13"/>
      <c r="I1350" s="12">
        <v>2022</v>
      </c>
      <c r="J1350" s="13" t="s">
        <v>4429</v>
      </c>
      <c r="K1350" s="12">
        <v>9785907534827</v>
      </c>
      <c r="L1350" s="13" t="s">
        <v>4430</v>
      </c>
      <c r="M1350" s="12">
        <v>200</v>
      </c>
      <c r="N1350" s="14">
        <v>0.47</v>
      </c>
      <c r="O1350" s="12">
        <v>146</v>
      </c>
      <c r="P1350" s="12">
        <v>216</v>
      </c>
      <c r="Q1350" s="12">
        <v>12</v>
      </c>
      <c r="R1350" s="13" t="s">
        <v>43</v>
      </c>
      <c r="S1350" s="13"/>
      <c r="T1350" s="15">
        <v>2000</v>
      </c>
      <c r="U1350" s="13" t="s">
        <v>52</v>
      </c>
      <c r="V1350" s="13" t="s">
        <v>59</v>
      </c>
      <c r="W1350" s="12">
        <v>10</v>
      </c>
      <c r="X1350" s="33" t="str">
        <f>HYPERLINK("https://www.alpinabook.ru/catalog/book-silikonovye-dali","ссылка на книгу")</f>
        <v>ссылка на книгу</v>
      </c>
      <c r="Y1350" s="34" t="str">
        <f>HYPERLINK("https://api-enni.alpina.ru/FilePrivilegesApproval/129","https://api-enni.alpina.ru/FilePrivilegesApproval/129")</f>
        <v>https://api-enni.alpina.ru/FilePrivilegesApproval/129</v>
      </c>
      <c r="Z1350" s="13"/>
      <c r="AT1350" s="1">
        <f t="shared" si="233"/>
        <v>0</v>
      </c>
      <c r="AU1350" s="1">
        <f t="shared" si="234"/>
        <v>0</v>
      </c>
      <c r="AV1350" s="1">
        <f t="shared" si="235"/>
        <v>0</v>
      </c>
      <c r="AW1350" s="1">
        <f t="shared" si="236"/>
        <v>0</v>
      </c>
      <c r="AX1350" s="1">
        <f t="shared" si="237"/>
        <v>0</v>
      </c>
    </row>
    <row r="1351" spans="1:50" s="1" customFormat="1" ht="24.95" customHeight="1" outlineLevel="3" x14ac:dyDescent="0.2">
      <c r="A1351" s="11"/>
      <c r="B1351" s="12">
        <v>740</v>
      </c>
      <c r="C1351" s="12">
        <v>740</v>
      </c>
      <c r="D1351" s="12">
        <v>24525</v>
      </c>
      <c r="E1351" s="13" t="s">
        <v>4431</v>
      </c>
      <c r="F1351" s="13" t="s">
        <v>4432</v>
      </c>
      <c r="G1351" s="13" t="s">
        <v>97</v>
      </c>
      <c r="H1351" s="13" t="s">
        <v>40</v>
      </c>
      <c r="I1351" s="12">
        <v>2022</v>
      </c>
      <c r="J1351" s="13" t="s">
        <v>4433</v>
      </c>
      <c r="K1351" s="12">
        <v>9785907470866</v>
      </c>
      <c r="L1351" s="13" t="s">
        <v>4434</v>
      </c>
      <c r="M1351" s="12">
        <v>264</v>
      </c>
      <c r="N1351" s="14">
        <v>0.43</v>
      </c>
      <c r="O1351" s="12">
        <v>146</v>
      </c>
      <c r="P1351" s="12">
        <v>216</v>
      </c>
      <c r="Q1351" s="12">
        <v>10</v>
      </c>
      <c r="R1351" s="13" t="s">
        <v>43</v>
      </c>
      <c r="S1351" s="13"/>
      <c r="T1351" s="15">
        <v>1200</v>
      </c>
      <c r="U1351" s="13" t="s">
        <v>52</v>
      </c>
      <c r="V1351" s="13" t="s">
        <v>59</v>
      </c>
      <c r="W1351" s="12">
        <v>10</v>
      </c>
      <c r="X1351" s="33" t="str">
        <f>HYPERLINK("https://www.alpinabook.ru/catalog/book-sokhranyaya-energiyu-startapa","ссылка на книгу")</f>
        <v>ссылка на книгу</v>
      </c>
      <c r="Y1351" s="34" t="str">
        <f>HYPERLINK("https://api-enni.alpina.ru/FilePrivilegesApproval/129","https://api-enni.alpina.ru/FilePrivilegesApproval/129")</f>
        <v>https://api-enni.alpina.ru/FilePrivilegesApproval/129</v>
      </c>
      <c r="Z1351" s="13"/>
      <c r="AT1351" s="1">
        <f t="shared" si="233"/>
        <v>0</v>
      </c>
      <c r="AU1351" s="1">
        <f t="shared" si="234"/>
        <v>0</v>
      </c>
      <c r="AV1351" s="1">
        <f t="shared" si="235"/>
        <v>0</v>
      </c>
      <c r="AW1351" s="1">
        <f t="shared" si="236"/>
        <v>0</v>
      </c>
      <c r="AX1351" s="1">
        <f t="shared" si="237"/>
        <v>0</v>
      </c>
    </row>
    <row r="1352" spans="1:50" s="1" customFormat="1" ht="24.95" customHeight="1" outlineLevel="3" x14ac:dyDescent="0.2">
      <c r="A1352" s="11"/>
      <c r="B1352" s="12">
        <v>790</v>
      </c>
      <c r="C1352" s="15">
        <v>1190</v>
      </c>
      <c r="D1352" s="12">
        <v>9030</v>
      </c>
      <c r="E1352" s="13" t="s">
        <v>4435</v>
      </c>
      <c r="F1352" s="13" t="s">
        <v>4436</v>
      </c>
      <c r="G1352" s="13" t="s">
        <v>56</v>
      </c>
      <c r="H1352" s="13" t="s">
        <v>40</v>
      </c>
      <c r="I1352" s="12">
        <v>2024</v>
      </c>
      <c r="J1352" s="13" t="s">
        <v>4437</v>
      </c>
      <c r="K1352" s="12">
        <v>9785961423464</v>
      </c>
      <c r="L1352" s="13" t="s">
        <v>4438</v>
      </c>
      <c r="M1352" s="12">
        <v>370</v>
      </c>
      <c r="N1352" s="14">
        <v>0.69</v>
      </c>
      <c r="O1352" s="12">
        <v>170</v>
      </c>
      <c r="P1352" s="12">
        <v>240</v>
      </c>
      <c r="Q1352" s="12">
        <v>5</v>
      </c>
      <c r="R1352" s="13" t="s">
        <v>94</v>
      </c>
      <c r="S1352" s="13"/>
      <c r="T1352" s="15">
        <v>1000</v>
      </c>
      <c r="U1352" s="13" t="s">
        <v>52</v>
      </c>
      <c r="V1352" s="13" t="s">
        <v>64</v>
      </c>
      <c r="W1352" s="12">
        <v>10</v>
      </c>
      <c r="X1352" s="33" t="str">
        <f>HYPERLINK("https://www.alpinabook.ru/catalog/book-upravlencheskie-kontseptsii-i-biznes-modeli","ссылка на книгу")</f>
        <v>ссылка на книгу</v>
      </c>
      <c r="Y1352" s="34" t="str">
        <f>HYPERLINK("https://api-enni.alpina.ru/FilePrivilegesApproval/239","https://api-enni.alpina.ru/FilePrivilegesApproval/239")</f>
        <v>https://api-enni.alpina.ru/FilePrivilegesApproval/239</v>
      </c>
      <c r="Z1352" s="13"/>
      <c r="AT1352" s="1">
        <f t="shared" si="233"/>
        <v>0</v>
      </c>
      <c r="AU1352" s="1">
        <f t="shared" si="234"/>
        <v>0</v>
      </c>
      <c r="AV1352" s="1">
        <f t="shared" si="235"/>
        <v>0</v>
      </c>
      <c r="AW1352" s="1">
        <f t="shared" si="236"/>
        <v>0</v>
      </c>
      <c r="AX1352" s="1">
        <f t="shared" si="237"/>
        <v>0</v>
      </c>
    </row>
    <row r="1353" spans="1:50" s="1" customFormat="1" ht="24.95" customHeight="1" outlineLevel="3" x14ac:dyDescent="0.2">
      <c r="A1353" s="11"/>
      <c r="B1353" s="15">
        <v>1340</v>
      </c>
      <c r="C1353" s="15">
        <v>1340</v>
      </c>
      <c r="D1353" s="12">
        <v>22582</v>
      </c>
      <c r="E1353" s="13" t="s">
        <v>4439</v>
      </c>
      <c r="F1353" s="13" t="s">
        <v>4440</v>
      </c>
      <c r="G1353" s="13" t="s">
        <v>97</v>
      </c>
      <c r="H1353" s="13"/>
      <c r="I1353" s="12">
        <v>2022</v>
      </c>
      <c r="J1353" s="13" t="s">
        <v>4441</v>
      </c>
      <c r="K1353" s="12">
        <v>9785907394490</v>
      </c>
      <c r="L1353" s="13" t="s">
        <v>4442</v>
      </c>
      <c r="M1353" s="12">
        <v>472</v>
      </c>
      <c r="N1353" s="14">
        <v>1.02</v>
      </c>
      <c r="O1353" s="12">
        <v>205</v>
      </c>
      <c r="P1353" s="12">
        <v>205</v>
      </c>
      <c r="Q1353" s="12">
        <v>3</v>
      </c>
      <c r="R1353" s="13" t="s">
        <v>100</v>
      </c>
      <c r="S1353" s="13"/>
      <c r="T1353" s="15">
        <v>3000</v>
      </c>
      <c r="U1353" s="13" t="s">
        <v>44</v>
      </c>
      <c r="V1353" s="13" t="s">
        <v>59</v>
      </c>
      <c r="W1353" s="12">
        <v>10</v>
      </c>
      <c r="X1353" s="33" t="str">
        <f>HYPERLINK("https://www.alpinabook.ru/catalog/book-franshiza-na-360","ссылка на книгу")</f>
        <v>ссылка на книгу</v>
      </c>
      <c r="Y1353" s="34" t="str">
        <f>HYPERLINK("https://api-enni.alpina.ru/FilePrivilegesApproval/120","https://api-enni.alpina.ru/FilePrivilegesApproval/120")</f>
        <v>https://api-enni.alpina.ru/FilePrivilegesApproval/120</v>
      </c>
      <c r="Z1353" s="13"/>
      <c r="AT1353" s="1">
        <f t="shared" si="233"/>
        <v>0</v>
      </c>
      <c r="AU1353" s="1">
        <f t="shared" si="234"/>
        <v>0</v>
      </c>
      <c r="AV1353" s="1">
        <f t="shared" si="235"/>
        <v>0</v>
      </c>
      <c r="AW1353" s="1">
        <f t="shared" si="236"/>
        <v>0</v>
      </c>
      <c r="AX1353" s="1">
        <f t="shared" si="237"/>
        <v>0</v>
      </c>
    </row>
    <row r="1354" spans="1:50" ht="11.1" customHeight="1" outlineLevel="2" x14ac:dyDescent="0.2">
      <c r="A1354" s="40" t="s">
        <v>4443</v>
      </c>
      <c r="B1354" s="40"/>
      <c r="C1354" s="40"/>
      <c r="D1354" s="40"/>
      <c r="E1354" s="40"/>
      <c r="F1354" s="40"/>
      <c r="G1354" s="40"/>
      <c r="H1354" s="40"/>
      <c r="I1354" s="40"/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20"/>
    </row>
    <row r="1355" spans="1:50" s="1" customFormat="1" ht="24.95" customHeight="1" outlineLevel="3" x14ac:dyDescent="0.2">
      <c r="A1355" s="11"/>
      <c r="B1355" s="12">
        <v>790</v>
      </c>
      <c r="C1355" s="15">
        <v>1190</v>
      </c>
      <c r="D1355" s="12">
        <v>18429</v>
      </c>
      <c r="E1355" s="13" t="s">
        <v>4444</v>
      </c>
      <c r="F1355" s="13" t="s">
        <v>4445</v>
      </c>
      <c r="G1355" s="13" t="s">
        <v>56</v>
      </c>
      <c r="H1355" s="13" t="s">
        <v>40</v>
      </c>
      <c r="I1355" s="12">
        <v>2025</v>
      </c>
      <c r="J1355" s="13" t="s">
        <v>4446</v>
      </c>
      <c r="K1355" s="12">
        <v>9785961476569</v>
      </c>
      <c r="L1355" s="13" t="s">
        <v>4447</v>
      </c>
      <c r="M1355" s="12">
        <v>374</v>
      </c>
      <c r="N1355" s="14">
        <v>0.54</v>
      </c>
      <c r="O1355" s="12">
        <v>150</v>
      </c>
      <c r="P1355" s="12">
        <v>220</v>
      </c>
      <c r="Q1355" s="12">
        <v>5</v>
      </c>
      <c r="R1355" s="13" t="s">
        <v>43</v>
      </c>
      <c r="S1355" s="13"/>
      <c r="T1355" s="15">
        <v>1000</v>
      </c>
      <c r="U1355" s="13" t="s">
        <v>52</v>
      </c>
      <c r="V1355" s="13" t="s">
        <v>45</v>
      </c>
      <c r="W1355" s="12">
        <v>10</v>
      </c>
      <c r="X1355" s="33" t="str">
        <f>HYPERLINK("https://www.alpinabook.ru/catalog/book-ford-vs-ferrari","ссылка на книгу")</f>
        <v>ссылка на книгу</v>
      </c>
      <c r="Y1355" s="34" t="str">
        <f>HYPERLINK("https://api-enni.alpina.ru/FilePrivilegesApproval/140","https://api-enni.alpina.ru/FilePrivilegesApproval/140")</f>
        <v>https://api-enni.alpina.ru/FilePrivilegesApproval/140</v>
      </c>
      <c r="Z1355" s="13" t="s">
        <v>954</v>
      </c>
      <c r="AT1355" s="1">
        <f t="shared" ref="AT1355:AT1393" si="238">IF($A1355&lt;&gt;0,1,0)</f>
        <v>0</v>
      </c>
      <c r="AU1355" s="1">
        <f t="shared" ref="AU1355:AU1393" si="239">$A1355*$B1355</f>
        <v>0</v>
      </c>
      <c r="AV1355" s="1">
        <f t="shared" ref="AV1355:AV1393" si="240">$A1355*$N1355</f>
        <v>0</v>
      </c>
      <c r="AW1355" s="1">
        <f t="shared" ref="AW1355:AW1393" si="241">IF($Q1355=0,0,INT($A1355/$Q1355))</f>
        <v>0</v>
      </c>
      <c r="AX1355" s="1">
        <f t="shared" ref="AX1355:AX1393" si="242">$A1355-$AW1355*$Q1355</f>
        <v>0</v>
      </c>
    </row>
    <row r="1356" spans="1:50" s="1" customFormat="1" ht="24.95" customHeight="1" outlineLevel="3" x14ac:dyDescent="0.2">
      <c r="A1356" s="26"/>
      <c r="B1356" s="27">
        <v>690</v>
      </c>
      <c r="C1356" s="27">
        <v>690</v>
      </c>
      <c r="D1356" s="27">
        <v>14937</v>
      </c>
      <c r="E1356" s="29" t="s">
        <v>4448</v>
      </c>
      <c r="F1356" s="29" t="s">
        <v>4449</v>
      </c>
      <c r="G1356" s="29" t="s">
        <v>56</v>
      </c>
      <c r="H1356" s="29"/>
      <c r="I1356" s="27">
        <v>2023</v>
      </c>
      <c r="J1356" s="29" t="s">
        <v>4450</v>
      </c>
      <c r="K1356" s="27">
        <v>9785961429145</v>
      </c>
      <c r="L1356" s="29" t="s">
        <v>4451</v>
      </c>
      <c r="M1356" s="27">
        <v>256</v>
      </c>
      <c r="N1356" s="30">
        <v>0.4</v>
      </c>
      <c r="O1356" s="27">
        <v>150</v>
      </c>
      <c r="P1356" s="27">
        <v>220</v>
      </c>
      <c r="Q1356" s="27">
        <v>12</v>
      </c>
      <c r="R1356" s="29" t="s">
        <v>43</v>
      </c>
      <c r="S1356" s="29"/>
      <c r="T1356" s="28">
        <v>1000</v>
      </c>
      <c r="U1356" s="29" t="s">
        <v>52</v>
      </c>
      <c r="V1356" s="29" t="s">
        <v>45</v>
      </c>
      <c r="W1356" s="27">
        <v>10</v>
      </c>
      <c r="X1356" s="37" t="str">
        <f>HYPERLINK("https://www.alpinabook.ru/catalog/book-indriver","ссылка на книгу")</f>
        <v>ссылка на книгу</v>
      </c>
      <c r="Y1356" s="38" t="str">
        <f>HYPERLINK("https://api-enni.alpina.ru/FilePrivilegesApproval/51","https://api-enni.alpina.ru/FilePrivilegesApproval/51")</f>
        <v>https://api-enni.alpina.ru/FilePrivilegesApproval/51</v>
      </c>
      <c r="Z1356" s="29"/>
      <c r="AT1356" s="1">
        <f t="shared" si="238"/>
        <v>0</v>
      </c>
      <c r="AU1356" s="1">
        <f t="shared" si="239"/>
        <v>0</v>
      </c>
      <c r="AV1356" s="1">
        <f t="shared" si="240"/>
        <v>0</v>
      </c>
      <c r="AW1356" s="1">
        <f t="shared" si="241"/>
        <v>0</v>
      </c>
      <c r="AX1356" s="1">
        <f t="shared" si="242"/>
        <v>0</v>
      </c>
    </row>
    <row r="1357" spans="1:50" s="1" customFormat="1" ht="24.95" customHeight="1" outlineLevel="3" x14ac:dyDescent="0.2">
      <c r="A1357" s="11"/>
      <c r="B1357" s="12">
        <v>690</v>
      </c>
      <c r="C1357" s="12">
        <v>690</v>
      </c>
      <c r="D1357" s="12">
        <v>12650</v>
      </c>
      <c r="E1357" s="13" t="s">
        <v>4452</v>
      </c>
      <c r="F1357" s="13" t="s">
        <v>4453</v>
      </c>
      <c r="G1357" s="13" t="s">
        <v>56</v>
      </c>
      <c r="H1357" s="13" t="s">
        <v>40</v>
      </c>
      <c r="I1357" s="12">
        <v>2021</v>
      </c>
      <c r="J1357" s="13" t="s">
        <v>4454</v>
      </c>
      <c r="K1357" s="12">
        <v>9785961440171</v>
      </c>
      <c r="L1357" s="13" t="s">
        <v>4455</v>
      </c>
      <c r="M1357" s="12">
        <v>352</v>
      </c>
      <c r="N1357" s="14">
        <v>0.66</v>
      </c>
      <c r="O1357" s="12">
        <v>168</v>
      </c>
      <c r="P1357" s="12">
        <v>241</v>
      </c>
      <c r="Q1357" s="12">
        <v>6</v>
      </c>
      <c r="R1357" s="13" t="s">
        <v>94</v>
      </c>
      <c r="S1357" s="13"/>
      <c r="T1357" s="15">
        <v>3000</v>
      </c>
      <c r="U1357" s="13" t="s">
        <v>52</v>
      </c>
      <c r="V1357" s="13" t="s">
        <v>64</v>
      </c>
      <c r="W1357" s="12">
        <v>10</v>
      </c>
      <c r="X1357" s="33" t="str">
        <f>HYPERLINK("https://www.alpinabook.ru/catalog/book-670648","ссылка на книгу")</f>
        <v>ссылка на книгу</v>
      </c>
      <c r="Y1357" s="34" t="str">
        <f>HYPERLINK("https://api-enni.alpina.ru/FilePrivilegesApproval/73","https://api-enni.alpina.ru/FilePrivilegesApproval/73")</f>
        <v>https://api-enni.alpina.ru/FilePrivilegesApproval/73</v>
      </c>
      <c r="Z1357" s="13"/>
      <c r="AT1357" s="1">
        <f t="shared" si="238"/>
        <v>0</v>
      </c>
      <c r="AU1357" s="1">
        <f t="shared" si="239"/>
        <v>0</v>
      </c>
      <c r="AV1357" s="1">
        <f t="shared" si="240"/>
        <v>0</v>
      </c>
      <c r="AW1357" s="1">
        <f t="shared" si="241"/>
        <v>0</v>
      </c>
      <c r="AX1357" s="1">
        <f t="shared" si="242"/>
        <v>0</v>
      </c>
    </row>
    <row r="1358" spans="1:50" s="1" customFormat="1" ht="24.95" customHeight="1" outlineLevel="3" x14ac:dyDescent="0.2">
      <c r="A1358" s="11"/>
      <c r="B1358" s="15">
        <v>1290</v>
      </c>
      <c r="C1358" s="15">
        <v>1790</v>
      </c>
      <c r="D1358" s="12">
        <v>6241</v>
      </c>
      <c r="E1358" s="13" t="s">
        <v>4456</v>
      </c>
      <c r="F1358" s="13" t="s">
        <v>4457</v>
      </c>
      <c r="G1358" s="13" t="s">
        <v>97</v>
      </c>
      <c r="H1358" s="13" t="s">
        <v>40</v>
      </c>
      <c r="I1358" s="12">
        <v>2025</v>
      </c>
      <c r="J1358" s="13" t="s">
        <v>4458</v>
      </c>
      <c r="K1358" s="12">
        <v>9785961468977</v>
      </c>
      <c r="L1358" s="13" t="s">
        <v>4459</v>
      </c>
      <c r="M1358" s="12">
        <v>542</v>
      </c>
      <c r="N1358" s="14">
        <v>0.98</v>
      </c>
      <c r="O1358" s="12">
        <v>171</v>
      </c>
      <c r="P1358" s="12">
        <v>241</v>
      </c>
      <c r="Q1358" s="12">
        <v>5</v>
      </c>
      <c r="R1358" s="13" t="s">
        <v>94</v>
      </c>
      <c r="S1358" s="13"/>
      <c r="T1358" s="15">
        <v>1000</v>
      </c>
      <c r="U1358" s="13" t="s">
        <v>52</v>
      </c>
      <c r="V1358" s="13" t="s">
        <v>64</v>
      </c>
      <c r="W1358" s="12">
        <v>10</v>
      </c>
      <c r="X1358" s="33" t="str">
        <f>HYPERLINK("https://www.alpinabook.ru/catalog/book-procter-gamble-put-k-uspekhu","ссылка на книгу")</f>
        <v>ссылка на книгу</v>
      </c>
      <c r="Y1358" s="34" t="str">
        <f>HYPERLINK("https://api-enni.alpina.ru/FilePrivilegesApproval/154","https://api-enni.alpina.ru/FilePrivilegesApproval/154")</f>
        <v>https://api-enni.alpina.ru/FilePrivilegesApproval/154</v>
      </c>
      <c r="Z1358" s="13" t="s">
        <v>173</v>
      </c>
      <c r="AT1358" s="1">
        <f t="shared" si="238"/>
        <v>0</v>
      </c>
      <c r="AU1358" s="1">
        <f t="shared" si="239"/>
        <v>0</v>
      </c>
      <c r="AV1358" s="1">
        <f t="shared" si="240"/>
        <v>0</v>
      </c>
      <c r="AW1358" s="1">
        <f t="shared" si="241"/>
        <v>0</v>
      </c>
      <c r="AX1358" s="1">
        <f t="shared" si="242"/>
        <v>0</v>
      </c>
    </row>
    <row r="1359" spans="1:50" s="1" customFormat="1" ht="24.95" customHeight="1" outlineLevel="3" x14ac:dyDescent="0.2">
      <c r="A1359" s="11"/>
      <c r="B1359" s="12">
        <v>840</v>
      </c>
      <c r="C1359" s="15">
        <v>1290</v>
      </c>
      <c r="D1359" s="12">
        <v>24074</v>
      </c>
      <c r="E1359" s="13" t="s">
        <v>4460</v>
      </c>
      <c r="F1359" s="13" t="s">
        <v>4461</v>
      </c>
      <c r="G1359" s="13" t="s">
        <v>97</v>
      </c>
      <c r="H1359" s="13" t="s">
        <v>40</v>
      </c>
      <c r="I1359" s="12">
        <v>2023</v>
      </c>
      <c r="J1359" s="13" t="s">
        <v>4462</v>
      </c>
      <c r="K1359" s="12">
        <v>9785907470668</v>
      </c>
      <c r="L1359" s="13" t="s">
        <v>4463</v>
      </c>
      <c r="M1359" s="12">
        <v>272</v>
      </c>
      <c r="N1359" s="14">
        <v>0.54</v>
      </c>
      <c r="O1359" s="12">
        <v>171</v>
      </c>
      <c r="P1359" s="12">
        <v>241</v>
      </c>
      <c r="Q1359" s="12">
        <v>5</v>
      </c>
      <c r="R1359" s="13" t="s">
        <v>94</v>
      </c>
      <c r="S1359" s="13"/>
      <c r="T1359" s="15">
        <v>1000</v>
      </c>
      <c r="U1359" s="13" t="s">
        <v>52</v>
      </c>
      <c r="V1359" s="13" t="s">
        <v>64</v>
      </c>
      <c r="W1359" s="12">
        <v>10</v>
      </c>
      <c r="X1359" s="33" t="str">
        <f>HYPERLINK("https://www.alpinabook.ru/catalog/book-saudi-inc","ссылка на книгу")</f>
        <v>ссылка на книгу</v>
      </c>
      <c r="Y1359" s="34" t="str">
        <f>HYPERLINK("https://api-enni.alpina.ru/FilePrivilegesApproval/142","https://api-enni.alpina.ru/FilePrivilegesApproval/142")</f>
        <v>https://api-enni.alpina.ru/FilePrivilegesApproval/142</v>
      </c>
      <c r="Z1359" s="13" t="s">
        <v>954</v>
      </c>
      <c r="AT1359" s="1">
        <f t="shared" si="238"/>
        <v>0</v>
      </c>
      <c r="AU1359" s="1">
        <f t="shared" si="239"/>
        <v>0</v>
      </c>
      <c r="AV1359" s="1">
        <f t="shared" si="240"/>
        <v>0</v>
      </c>
      <c r="AW1359" s="1">
        <f t="shared" si="241"/>
        <v>0</v>
      </c>
      <c r="AX1359" s="1">
        <f t="shared" si="242"/>
        <v>0</v>
      </c>
    </row>
    <row r="1360" spans="1:50" s="1" customFormat="1" ht="24.95" customHeight="1" outlineLevel="3" x14ac:dyDescent="0.2">
      <c r="A1360" s="11"/>
      <c r="B1360" s="12">
        <v>690</v>
      </c>
      <c r="C1360" s="12">
        <v>990</v>
      </c>
      <c r="D1360" s="12">
        <v>5279</v>
      </c>
      <c r="E1360" s="13" t="s">
        <v>4464</v>
      </c>
      <c r="F1360" s="13" t="s">
        <v>4465</v>
      </c>
      <c r="G1360" s="13" t="s">
        <v>56</v>
      </c>
      <c r="H1360" s="13" t="s">
        <v>40</v>
      </c>
      <c r="I1360" s="12">
        <v>2025</v>
      </c>
      <c r="J1360" s="13" t="s">
        <v>4466</v>
      </c>
      <c r="K1360" s="12">
        <v>9785961469271</v>
      </c>
      <c r="L1360" s="13" t="s">
        <v>4467</v>
      </c>
      <c r="M1360" s="12">
        <v>288</v>
      </c>
      <c r="N1360" s="14">
        <v>0.56999999999999995</v>
      </c>
      <c r="O1360" s="12">
        <v>171</v>
      </c>
      <c r="P1360" s="12">
        <v>241</v>
      </c>
      <c r="Q1360" s="12">
        <v>8</v>
      </c>
      <c r="R1360" s="13" t="s">
        <v>94</v>
      </c>
      <c r="S1360" s="13"/>
      <c r="T1360" s="15">
        <v>1000</v>
      </c>
      <c r="U1360" s="13" t="s">
        <v>52</v>
      </c>
      <c r="V1360" s="13" t="s">
        <v>64</v>
      </c>
      <c r="W1360" s="12">
        <v>10</v>
      </c>
      <c r="X1360" s="33" t="str">
        <f>HYPERLINK("https://www.alpinabook.ru/catalog/book-sony","ссылка на книгу")</f>
        <v>ссылка на книгу</v>
      </c>
      <c r="Y1360" s="34" t="str">
        <f>HYPERLINK("https://api-enni.alpina.ru/FilePrivilegesApproval/156","https://api-enni.alpina.ru/FilePrivilegesApproval/156")</f>
        <v>https://api-enni.alpina.ru/FilePrivilegesApproval/156</v>
      </c>
      <c r="Z1360" s="13" t="s">
        <v>77</v>
      </c>
      <c r="AT1360" s="1">
        <f t="shared" si="238"/>
        <v>0</v>
      </c>
      <c r="AU1360" s="1">
        <f t="shared" si="239"/>
        <v>0</v>
      </c>
      <c r="AV1360" s="1">
        <f t="shared" si="240"/>
        <v>0</v>
      </c>
      <c r="AW1360" s="1">
        <f t="shared" si="241"/>
        <v>0</v>
      </c>
      <c r="AX1360" s="1">
        <f t="shared" si="242"/>
        <v>0</v>
      </c>
    </row>
    <row r="1361" spans="1:50" s="1" customFormat="1" ht="24.95" customHeight="1" outlineLevel="3" x14ac:dyDescent="0.2">
      <c r="A1361" s="11"/>
      <c r="B1361" s="12">
        <v>550</v>
      </c>
      <c r="C1361" s="12">
        <v>790</v>
      </c>
      <c r="D1361" s="12">
        <v>4747</v>
      </c>
      <c r="E1361" s="13" t="s">
        <v>4468</v>
      </c>
      <c r="F1361" s="13" t="s">
        <v>4469</v>
      </c>
      <c r="G1361" s="13" t="s">
        <v>97</v>
      </c>
      <c r="H1361" s="13"/>
      <c r="I1361" s="12">
        <v>2025</v>
      </c>
      <c r="J1361" s="13" t="s">
        <v>4470</v>
      </c>
      <c r="K1361" s="12">
        <v>9785961447286</v>
      </c>
      <c r="L1361" s="13" t="s">
        <v>4471</v>
      </c>
      <c r="M1361" s="12">
        <v>186</v>
      </c>
      <c r="N1361" s="14">
        <v>0.34</v>
      </c>
      <c r="O1361" s="12">
        <v>150</v>
      </c>
      <c r="P1361" s="12">
        <v>220</v>
      </c>
      <c r="Q1361" s="12">
        <v>8</v>
      </c>
      <c r="R1361" s="13" t="s">
        <v>43</v>
      </c>
      <c r="S1361" s="13"/>
      <c r="T1361" s="15">
        <v>1000</v>
      </c>
      <c r="U1361" s="13" t="s">
        <v>52</v>
      </c>
      <c r="V1361" s="13" t="s">
        <v>64</v>
      </c>
      <c r="W1361" s="12">
        <v>10</v>
      </c>
      <c r="X1361" s="33" t="str">
        <f>HYPERLINK("https://www.alpinabook.ru/catalog/book-byt-biznes-liderom","ссылка на книгу")</f>
        <v>ссылка на книгу</v>
      </c>
      <c r="Y1361" s="34" t="str">
        <f>HYPERLINK("https://api-enni.alpina.ru/FilePrivilegesApproval/154","https://api-enni.alpina.ru/FilePrivilegesApproval/154")</f>
        <v>https://api-enni.alpina.ru/FilePrivilegesApproval/154</v>
      </c>
      <c r="Z1361" s="13" t="s">
        <v>954</v>
      </c>
      <c r="AT1361" s="1">
        <f t="shared" si="238"/>
        <v>0</v>
      </c>
      <c r="AU1361" s="1">
        <f t="shared" si="239"/>
        <v>0</v>
      </c>
      <c r="AV1361" s="1">
        <f t="shared" si="240"/>
        <v>0</v>
      </c>
      <c r="AW1361" s="1">
        <f t="shared" si="241"/>
        <v>0</v>
      </c>
      <c r="AX1361" s="1">
        <f t="shared" si="242"/>
        <v>0</v>
      </c>
    </row>
    <row r="1362" spans="1:50" s="1" customFormat="1" ht="24.95" customHeight="1" outlineLevel="3" x14ac:dyDescent="0.2">
      <c r="A1362" s="11"/>
      <c r="B1362" s="12">
        <v>790</v>
      </c>
      <c r="C1362" s="15">
        <v>1190</v>
      </c>
      <c r="D1362" s="12">
        <v>29694</v>
      </c>
      <c r="E1362" s="13" t="s">
        <v>4472</v>
      </c>
      <c r="F1362" s="13" t="s">
        <v>4473</v>
      </c>
      <c r="G1362" s="13" t="s">
        <v>97</v>
      </c>
      <c r="H1362" s="13"/>
      <c r="I1362" s="12">
        <v>2024</v>
      </c>
      <c r="J1362" s="13" t="s">
        <v>4474</v>
      </c>
      <c r="K1362" s="12">
        <v>9785206002935</v>
      </c>
      <c r="L1362" s="13" t="s">
        <v>4475</v>
      </c>
      <c r="M1362" s="12">
        <v>224</v>
      </c>
      <c r="N1362" s="14">
        <v>0.5</v>
      </c>
      <c r="O1362" s="12">
        <v>160</v>
      </c>
      <c r="P1362" s="12">
        <v>210</v>
      </c>
      <c r="Q1362" s="12">
        <v>12</v>
      </c>
      <c r="R1362" s="13" t="s">
        <v>43</v>
      </c>
      <c r="S1362" s="13"/>
      <c r="T1362" s="15">
        <v>1505</v>
      </c>
      <c r="U1362" s="13" t="s">
        <v>52</v>
      </c>
      <c r="V1362" s="13" t="s">
        <v>45</v>
      </c>
      <c r="W1362" s="12">
        <v>10</v>
      </c>
      <c r="X1362" s="33" t="str">
        <f>HYPERLINK("https://www.alpinabook.ru/catalog/book-vasha-karera-na-million","ссылка на книгу")</f>
        <v>ссылка на книгу</v>
      </c>
      <c r="Y1362" s="34" t="str">
        <f>HYPERLINK("https://api-enni.alpina.ru/FilePrivilegesApproval/538","https://api-enni.alpina.ru/FilePrivilegesApproval/538")</f>
        <v>https://api-enni.alpina.ru/FilePrivilegesApproval/538</v>
      </c>
      <c r="Z1362" s="13"/>
      <c r="AT1362" s="1">
        <f t="shared" si="238"/>
        <v>0</v>
      </c>
      <c r="AU1362" s="1">
        <f t="shared" si="239"/>
        <v>0</v>
      </c>
      <c r="AV1362" s="1">
        <f t="shared" si="240"/>
        <v>0</v>
      </c>
      <c r="AW1362" s="1">
        <f t="shared" si="241"/>
        <v>0</v>
      </c>
      <c r="AX1362" s="1">
        <f t="shared" si="242"/>
        <v>0</v>
      </c>
    </row>
    <row r="1363" spans="1:50" s="1" customFormat="1" ht="24.95" customHeight="1" outlineLevel="3" x14ac:dyDescent="0.2">
      <c r="A1363" s="11"/>
      <c r="B1363" s="12">
        <v>690</v>
      </c>
      <c r="C1363" s="12">
        <v>990</v>
      </c>
      <c r="D1363" s="12">
        <v>26935</v>
      </c>
      <c r="E1363" s="13" t="s">
        <v>4370</v>
      </c>
      <c r="F1363" s="13" t="s">
        <v>4476</v>
      </c>
      <c r="G1363" s="13" t="s">
        <v>56</v>
      </c>
      <c r="H1363" s="13"/>
      <c r="I1363" s="12">
        <v>2025</v>
      </c>
      <c r="J1363" s="13" t="s">
        <v>4477</v>
      </c>
      <c r="K1363" s="12">
        <v>9785961483390</v>
      </c>
      <c r="L1363" s="13" t="s">
        <v>4478</v>
      </c>
      <c r="M1363" s="12">
        <v>290</v>
      </c>
      <c r="N1363" s="14">
        <v>0.46</v>
      </c>
      <c r="O1363" s="12">
        <v>140</v>
      </c>
      <c r="P1363" s="12">
        <v>210</v>
      </c>
      <c r="Q1363" s="12">
        <v>10</v>
      </c>
      <c r="R1363" s="13" t="s">
        <v>43</v>
      </c>
      <c r="S1363" s="13"/>
      <c r="T1363" s="15">
        <v>3000</v>
      </c>
      <c r="U1363" s="13" t="s">
        <v>44</v>
      </c>
      <c r="V1363" s="13" t="s">
        <v>59</v>
      </c>
      <c r="W1363" s="12">
        <v>10</v>
      </c>
      <c r="X1363" s="33" t="str">
        <f>HYPERLINK("https://www.alpinabook.ru/catalog/book-vkusvill","ссылка на книгу")</f>
        <v>ссылка на книгу</v>
      </c>
      <c r="Y1363" s="34" t="str">
        <f>HYPERLINK("https://api-enni.alpina.ru/FilePrivilegesApproval/164","https://api-enni.alpina.ru/FilePrivilegesApproval/164")</f>
        <v>https://api-enni.alpina.ru/FilePrivilegesApproval/164</v>
      </c>
      <c r="Z1363" s="13"/>
      <c r="AT1363" s="1">
        <f t="shared" si="238"/>
        <v>0</v>
      </c>
      <c r="AU1363" s="1">
        <f t="shared" si="239"/>
        <v>0</v>
      </c>
      <c r="AV1363" s="1">
        <f t="shared" si="240"/>
        <v>0</v>
      </c>
      <c r="AW1363" s="1">
        <f t="shared" si="241"/>
        <v>0</v>
      </c>
      <c r="AX1363" s="1">
        <f t="shared" si="242"/>
        <v>0</v>
      </c>
    </row>
    <row r="1364" spans="1:50" s="1" customFormat="1" ht="24.95" customHeight="1" outlineLevel="3" x14ac:dyDescent="0.2">
      <c r="A1364" s="11"/>
      <c r="B1364" s="12">
        <v>990</v>
      </c>
      <c r="C1364" s="12">
        <v>990</v>
      </c>
      <c r="D1364" s="12">
        <v>24093</v>
      </c>
      <c r="E1364" s="13" t="s">
        <v>4479</v>
      </c>
      <c r="F1364" s="13" t="s">
        <v>4480</v>
      </c>
      <c r="G1364" s="13" t="s">
        <v>97</v>
      </c>
      <c r="H1364" s="13"/>
      <c r="I1364" s="12">
        <v>2022</v>
      </c>
      <c r="J1364" s="13" t="s">
        <v>4481</v>
      </c>
      <c r="K1364" s="12">
        <v>9785907534025</v>
      </c>
      <c r="L1364" s="13" t="s">
        <v>4482</v>
      </c>
      <c r="M1364" s="12">
        <v>282</v>
      </c>
      <c r="N1364" s="14">
        <v>0.56999999999999995</v>
      </c>
      <c r="O1364" s="12">
        <v>168</v>
      </c>
      <c r="P1364" s="12">
        <v>241</v>
      </c>
      <c r="Q1364" s="12">
        <v>6</v>
      </c>
      <c r="R1364" s="13" t="s">
        <v>94</v>
      </c>
      <c r="S1364" s="13"/>
      <c r="T1364" s="15">
        <v>1500</v>
      </c>
      <c r="U1364" s="13" t="s">
        <v>52</v>
      </c>
      <c r="V1364" s="13" t="s">
        <v>45</v>
      </c>
      <c r="W1364" s="12">
        <v>10</v>
      </c>
      <c r="X1364" s="33" t="str">
        <f>HYPERLINK("https://www.alpinabook.ru/catalog/book-vyigryvay-chestno","ссылка на книгу")</f>
        <v>ссылка на книгу</v>
      </c>
      <c r="Y1364" s="34" t="str">
        <f>HYPERLINK("https://api-enni.alpina.ru/FilePrivilegesApproval/139","https://api-enni.alpina.ru/FilePrivilegesApproval/139")</f>
        <v>https://api-enni.alpina.ru/FilePrivilegesApproval/139</v>
      </c>
      <c r="Z1364" s="13"/>
      <c r="AT1364" s="1">
        <f t="shared" si="238"/>
        <v>0</v>
      </c>
      <c r="AU1364" s="1">
        <f t="shared" si="239"/>
        <v>0</v>
      </c>
      <c r="AV1364" s="1">
        <f t="shared" si="240"/>
        <v>0</v>
      </c>
      <c r="AW1364" s="1">
        <f t="shared" si="241"/>
        <v>0</v>
      </c>
      <c r="AX1364" s="1">
        <f t="shared" si="242"/>
        <v>0</v>
      </c>
    </row>
    <row r="1365" spans="1:50" s="1" customFormat="1" ht="24.95" customHeight="1" outlineLevel="3" x14ac:dyDescent="0.2">
      <c r="A1365" s="11"/>
      <c r="B1365" s="12">
        <v>990</v>
      </c>
      <c r="C1365" s="15">
        <v>1490</v>
      </c>
      <c r="D1365" s="12">
        <v>27468</v>
      </c>
      <c r="E1365" s="13" t="s">
        <v>4483</v>
      </c>
      <c r="F1365" s="13" t="s">
        <v>4484</v>
      </c>
      <c r="G1365" s="13" t="s">
        <v>97</v>
      </c>
      <c r="H1365" s="13"/>
      <c r="I1365" s="12">
        <v>2023</v>
      </c>
      <c r="J1365" s="13" t="s">
        <v>4485</v>
      </c>
      <c r="K1365" s="12">
        <v>9785206001525</v>
      </c>
      <c r="L1365" s="13" t="s">
        <v>4486</v>
      </c>
      <c r="M1365" s="12">
        <v>304</v>
      </c>
      <c r="N1365" s="14">
        <v>0.59</v>
      </c>
      <c r="O1365" s="12">
        <v>170</v>
      </c>
      <c r="P1365" s="12">
        <v>240</v>
      </c>
      <c r="Q1365" s="12">
        <v>8</v>
      </c>
      <c r="R1365" s="13" t="s">
        <v>94</v>
      </c>
      <c r="S1365" s="13"/>
      <c r="T1365" s="15">
        <v>1000</v>
      </c>
      <c r="U1365" s="13" t="s">
        <v>52</v>
      </c>
      <c r="V1365" s="13" t="s">
        <v>89</v>
      </c>
      <c r="W1365" s="12">
        <v>20</v>
      </c>
      <c r="X1365" s="33" t="str">
        <f>HYPERLINK("https://www.alpinabook.ru/catalog/book-vysota","ссылка на книгу")</f>
        <v>ссылка на книгу</v>
      </c>
      <c r="Y1365" s="34" t="str">
        <f>HYPERLINK("https://api-enni.alpina.ru/FilePrivilegesApproval/286","https://api-enni.alpina.ru/FilePrivilegesApproval/286")</f>
        <v>https://api-enni.alpina.ru/FilePrivilegesApproval/286</v>
      </c>
      <c r="Z1365" s="13"/>
      <c r="AT1365" s="1">
        <f t="shared" si="238"/>
        <v>0</v>
      </c>
      <c r="AU1365" s="1">
        <f t="shared" si="239"/>
        <v>0</v>
      </c>
      <c r="AV1365" s="1">
        <f t="shared" si="240"/>
        <v>0</v>
      </c>
      <c r="AW1365" s="1">
        <f t="shared" si="241"/>
        <v>0</v>
      </c>
      <c r="AX1365" s="1">
        <f t="shared" si="242"/>
        <v>0</v>
      </c>
    </row>
    <row r="1366" spans="1:50" s="1" customFormat="1" ht="24.95" customHeight="1" outlineLevel="3" x14ac:dyDescent="0.2">
      <c r="A1366" s="26"/>
      <c r="B1366" s="27">
        <v>640</v>
      </c>
      <c r="C1366" s="27">
        <v>940</v>
      </c>
      <c r="D1366" s="27">
        <v>26212</v>
      </c>
      <c r="E1366" s="29" t="s">
        <v>4487</v>
      </c>
      <c r="F1366" s="29" t="s">
        <v>4488</v>
      </c>
      <c r="G1366" s="29" t="s">
        <v>97</v>
      </c>
      <c r="H1366" s="29"/>
      <c r="I1366" s="27">
        <v>2024</v>
      </c>
      <c r="J1366" s="29" t="s">
        <v>4489</v>
      </c>
      <c r="K1366" s="27">
        <v>9785206000641</v>
      </c>
      <c r="L1366" s="29" t="s">
        <v>4490</v>
      </c>
      <c r="M1366" s="27">
        <v>256</v>
      </c>
      <c r="N1366" s="30">
        <v>0.32</v>
      </c>
      <c r="O1366" s="27">
        <v>140</v>
      </c>
      <c r="P1366" s="27">
        <v>210</v>
      </c>
      <c r="Q1366" s="27">
        <v>66</v>
      </c>
      <c r="R1366" s="29" t="s">
        <v>43</v>
      </c>
      <c r="S1366" s="29"/>
      <c r="T1366" s="28">
        <v>1000</v>
      </c>
      <c r="U1366" s="29" t="s">
        <v>44</v>
      </c>
      <c r="V1366" s="29" t="s">
        <v>59</v>
      </c>
      <c r="W1366" s="27">
        <v>10</v>
      </c>
      <c r="X1366" s="37" t="str">
        <f>HYPERLINK("https://www.alpinabook.ru/catalog/book-geroi-biznesa","ссылка на книгу")</f>
        <v>ссылка на книгу</v>
      </c>
      <c r="Y1366" s="38" t="str">
        <f>HYPERLINK("https://api-enni.alpina.ru/FilePrivilegesApproval/219","https://api-enni.alpina.ru/FilePrivilegesApproval/219")</f>
        <v>https://api-enni.alpina.ru/FilePrivilegesApproval/219</v>
      </c>
      <c r="Z1366" s="29"/>
      <c r="AT1366" s="1">
        <f t="shared" si="238"/>
        <v>0</v>
      </c>
      <c r="AU1366" s="1">
        <f t="shared" si="239"/>
        <v>0</v>
      </c>
      <c r="AV1366" s="1">
        <f t="shared" si="240"/>
        <v>0</v>
      </c>
      <c r="AW1366" s="1">
        <f t="shared" si="241"/>
        <v>0</v>
      </c>
      <c r="AX1366" s="1">
        <f t="shared" si="242"/>
        <v>0</v>
      </c>
    </row>
    <row r="1367" spans="1:50" s="1" customFormat="1" ht="24.95" customHeight="1" outlineLevel="3" x14ac:dyDescent="0.2">
      <c r="A1367" s="11"/>
      <c r="B1367" s="12">
        <v>990</v>
      </c>
      <c r="C1367" s="15">
        <v>1490</v>
      </c>
      <c r="D1367" s="12">
        <v>29228</v>
      </c>
      <c r="E1367" s="13" t="s">
        <v>4491</v>
      </c>
      <c r="F1367" s="13" t="s">
        <v>4492</v>
      </c>
      <c r="G1367" s="13" t="s">
        <v>97</v>
      </c>
      <c r="H1367" s="13"/>
      <c r="I1367" s="12">
        <v>2024</v>
      </c>
      <c r="J1367" s="13" t="s">
        <v>4493</v>
      </c>
      <c r="K1367" s="12">
        <v>9785206002607</v>
      </c>
      <c r="L1367" s="13" t="s">
        <v>4494</v>
      </c>
      <c r="M1367" s="12">
        <v>144</v>
      </c>
      <c r="N1367" s="14">
        <v>0.75</v>
      </c>
      <c r="O1367" s="12">
        <v>210</v>
      </c>
      <c r="P1367" s="12">
        <v>270</v>
      </c>
      <c r="Q1367" s="12">
        <v>7</v>
      </c>
      <c r="R1367" s="13" t="s">
        <v>300</v>
      </c>
      <c r="S1367" s="13"/>
      <c r="T1367" s="15">
        <v>5500</v>
      </c>
      <c r="U1367" s="13" t="s">
        <v>52</v>
      </c>
      <c r="V1367" s="13" t="s">
        <v>45</v>
      </c>
      <c r="W1367" s="12">
        <v>10</v>
      </c>
      <c r="X1367" s="33" t="str">
        <f>HYPERLINK("https://www.alpinabook.ru/catalog/book-dengi-vperyed","ссылка на книгу")</f>
        <v>ссылка на книгу</v>
      </c>
      <c r="Y1367" s="34" t="str">
        <f>HYPERLINK("https://api-enni.alpina.ru/FilePrivilegesApproval/325","https://api-enni.alpina.ru/FilePrivilegesApproval/325")</f>
        <v>https://api-enni.alpina.ru/FilePrivilegesApproval/325</v>
      </c>
      <c r="Z1367" s="13"/>
      <c r="AT1367" s="1">
        <f t="shared" si="238"/>
        <v>0</v>
      </c>
      <c r="AU1367" s="1">
        <f t="shared" si="239"/>
        <v>0</v>
      </c>
      <c r="AV1367" s="1">
        <f t="shared" si="240"/>
        <v>0</v>
      </c>
      <c r="AW1367" s="1">
        <f t="shared" si="241"/>
        <v>0</v>
      </c>
      <c r="AX1367" s="1">
        <f t="shared" si="242"/>
        <v>0</v>
      </c>
    </row>
    <row r="1368" spans="1:50" s="1" customFormat="1" ht="24.95" customHeight="1" outlineLevel="3" x14ac:dyDescent="0.2">
      <c r="A1368" s="11"/>
      <c r="B1368" s="12">
        <v>590</v>
      </c>
      <c r="C1368" s="12">
        <v>790</v>
      </c>
      <c r="D1368" s="12">
        <v>27683</v>
      </c>
      <c r="E1368" s="13" t="s">
        <v>418</v>
      </c>
      <c r="F1368" s="13" t="s">
        <v>419</v>
      </c>
      <c r="G1368" s="13" t="s">
        <v>56</v>
      </c>
      <c r="H1368" s="13" t="s">
        <v>40</v>
      </c>
      <c r="I1368" s="12">
        <v>2025</v>
      </c>
      <c r="J1368" s="13" t="s">
        <v>420</v>
      </c>
      <c r="K1368" s="12">
        <v>9785961486896</v>
      </c>
      <c r="L1368" s="13" t="s">
        <v>421</v>
      </c>
      <c r="M1368" s="12">
        <v>256</v>
      </c>
      <c r="N1368" s="14">
        <v>0.54</v>
      </c>
      <c r="O1368" s="12">
        <v>170</v>
      </c>
      <c r="P1368" s="12">
        <v>250</v>
      </c>
      <c r="Q1368" s="12">
        <v>5</v>
      </c>
      <c r="R1368" s="13" t="s">
        <v>94</v>
      </c>
      <c r="S1368" s="13"/>
      <c r="T1368" s="15">
        <v>1000</v>
      </c>
      <c r="U1368" s="13" t="s">
        <v>52</v>
      </c>
      <c r="V1368" s="13" t="s">
        <v>64</v>
      </c>
      <c r="W1368" s="12">
        <v>10</v>
      </c>
      <c r="X1368" s="33" t="str">
        <f>HYPERLINK("https://www.alpinabook.ru/catalog/book-dumay-kak-milliarder","ссылка на книгу")</f>
        <v>ссылка на книгу</v>
      </c>
      <c r="Y1368" s="34" t="str">
        <f>HYPERLINK("https://api-enni.alpina.ru/FilePrivilegesApproval/124","https://api-enni.alpina.ru/FilePrivilegesApproval/124")</f>
        <v>https://api-enni.alpina.ru/FilePrivilegesApproval/124</v>
      </c>
      <c r="Z1368" s="13" t="s">
        <v>77</v>
      </c>
      <c r="AT1368" s="1">
        <f t="shared" si="238"/>
        <v>0</v>
      </c>
      <c r="AU1368" s="1">
        <f t="shared" si="239"/>
        <v>0</v>
      </c>
      <c r="AV1368" s="1">
        <f t="shared" si="240"/>
        <v>0</v>
      </c>
      <c r="AW1368" s="1">
        <f t="shared" si="241"/>
        <v>0</v>
      </c>
      <c r="AX1368" s="1">
        <f t="shared" si="242"/>
        <v>0</v>
      </c>
    </row>
    <row r="1369" spans="1:50" s="1" customFormat="1" ht="24.95" customHeight="1" outlineLevel="3" x14ac:dyDescent="0.2">
      <c r="A1369" s="11"/>
      <c r="B1369" s="12">
        <v>340</v>
      </c>
      <c r="C1369" s="12">
        <v>540</v>
      </c>
      <c r="D1369" s="12">
        <v>29293</v>
      </c>
      <c r="E1369" s="13" t="s">
        <v>418</v>
      </c>
      <c r="F1369" s="13" t="s">
        <v>4495</v>
      </c>
      <c r="G1369" s="13" t="s">
        <v>56</v>
      </c>
      <c r="H1369" s="13" t="s">
        <v>40</v>
      </c>
      <c r="I1369" s="12">
        <v>2025</v>
      </c>
      <c r="J1369" s="13" t="s">
        <v>4496</v>
      </c>
      <c r="K1369" s="12">
        <v>9785961492101</v>
      </c>
      <c r="L1369" s="13" t="s">
        <v>4497</v>
      </c>
      <c r="M1369" s="12">
        <v>368</v>
      </c>
      <c r="N1369" s="14">
        <v>0.24</v>
      </c>
      <c r="O1369" s="12">
        <v>120</v>
      </c>
      <c r="P1369" s="12">
        <v>170</v>
      </c>
      <c r="Q1369" s="12">
        <v>16</v>
      </c>
      <c r="R1369" s="13" t="s">
        <v>75</v>
      </c>
      <c r="S1369" s="13" t="s">
        <v>253</v>
      </c>
      <c r="T1369" s="15">
        <v>2000</v>
      </c>
      <c r="U1369" s="13" t="s">
        <v>44</v>
      </c>
      <c r="V1369" s="13" t="s">
        <v>64</v>
      </c>
      <c r="W1369" s="12">
        <v>10</v>
      </c>
      <c r="X1369" s="33" t="str">
        <f>HYPERLINK("https://www.alpinabook.ru/catalog/book-dumay-kak-milliarder","ссылка на книгу")</f>
        <v>ссылка на книгу</v>
      </c>
      <c r="Y1369" s="34" t="str">
        <f>HYPERLINK("https://api-enni.alpina.ru/FilePrivilegesApproval/22","https://api-enni.alpina.ru/FilePrivilegesApproval/22")</f>
        <v>https://api-enni.alpina.ru/FilePrivilegesApproval/22</v>
      </c>
      <c r="Z1369" s="13" t="s">
        <v>2138</v>
      </c>
      <c r="AT1369" s="1">
        <f t="shared" si="238"/>
        <v>0</v>
      </c>
      <c r="AU1369" s="1">
        <f t="shared" si="239"/>
        <v>0</v>
      </c>
      <c r="AV1369" s="1">
        <f t="shared" si="240"/>
        <v>0</v>
      </c>
      <c r="AW1369" s="1">
        <f t="shared" si="241"/>
        <v>0</v>
      </c>
      <c r="AX1369" s="1">
        <f t="shared" si="242"/>
        <v>0</v>
      </c>
    </row>
    <row r="1370" spans="1:50" s="1" customFormat="1" ht="24.95" customHeight="1" outlineLevel="3" x14ac:dyDescent="0.2">
      <c r="A1370" s="11"/>
      <c r="B1370" s="12">
        <v>690</v>
      </c>
      <c r="C1370" s="12">
        <v>690</v>
      </c>
      <c r="D1370" s="12">
        <v>5652</v>
      </c>
      <c r="E1370" s="13" t="s">
        <v>427</v>
      </c>
      <c r="F1370" s="13" t="s">
        <v>428</v>
      </c>
      <c r="G1370" s="13" t="s">
        <v>56</v>
      </c>
      <c r="H1370" s="13" t="s">
        <v>40</v>
      </c>
      <c r="I1370" s="12">
        <v>2025</v>
      </c>
      <c r="J1370" s="13" t="s">
        <v>429</v>
      </c>
      <c r="K1370" s="12">
        <v>9785961468229</v>
      </c>
      <c r="L1370" s="13" t="s">
        <v>430</v>
      </c>
      <c r="M1370" s="12">
        <v>294</v>
      </c>
      <c r="N1370" s="14">
        <v>0.44</v>
      </c>
      <c r="O1370" s="12">
        <v>150</v>
      </c>
      <c r="P1370" s="12">
        <v>220</v>
      </c>
      <c r="Q1370" s="12">
        <v>5</v>
      </c>
      <c r="R1370" s="13" t="s">
        <v>43</v>
      </c>
      <c r="S1370" s="13"/>
      <c r="T1370" s="15">
        <v>1000</v>
      </c>
      <c r="U1370" s="13" t="s">
        <v>52</v>
      </c>
      <c r="V1370" s="13" t="s">
        <v>64</v>
      </c>
      <c r="W1370" s="12">
        <v>10</v>
      </c>
      <c r="X1370" s="33" t="str">
        <f>HYPERLINK("https://www.alpinabook.ru/catalog/book-est-ideya","ссылка на книгу")</f>
        <v>ссылка на книгу</v>
      </c>
      <c r="Y1370" s="34" t="str">
        <f>HYPERLINK("https://api-enni.alpina.ru/FilePrivilegesApproval/158","https://api-enni.alpina.ru/FilePrivilegesApproval/158")</f>
        <v>https://api-enni.alpina.ru/FilePrivilegesApproval/158</v>
      </c>
      <c r="Z1370" s="13" t="s">
        <v>431</v>
      </c>
      <c r="AT1370" s="1">
        <f t="shared" si="238"/>
        <v>0</v>
      </c>
      <c r="AU1370" s="1">
        <f t="shared" si="239"/>
        <v>0</v>
      </c>
      <c r="AV1370" s="1">
        <f t="shared" si="240"/>
        <v>0</v>
      </c>
      <c r="AW1370" s="1">
        <f t="shared" si="241"/>
        <v>0</v>
      </c>
      <c r="AX1370" s="1">
        <f t="shared" si="242"/>
        <v>0</v>
      </c>
    </row>
    <row r="1371" spans="1:50" s="1" customFormat="1" ht="24.95" customHeight="1" outlineLevel="3" x14ac:dyDescent="0.2">
      <c r="A1371" s="11"/>
      <c r="B1371" s="12">
        <v>690</v>
      </c>
      <c r="C1371" s="12">
        <v>990</v>
      </c>
      <c r="D1371" s="12">
        <v>27020</v>
      </c>
      <c r="E1371" s="13" t="s">
        <v>4498</v>
      </c>
      <c r="F1371" s="13" t="s">
        <v>4499</v>
      </c>
      <c r="G1371" s="13" t="s">
        <v>3511</v>
      </c>
      <c r="H1371" s="13" t="s">
        <v>40</v>
      </c>
      <c r="I1371" s="12">
        <v>2023</v>
      </c>
      <c r="J1371" s="13" t="s">
        <v>4500</v>
      </c>
      <c r="K1371" s="12">
        <v>9785907625051</v>
      </c>
      <c r="L1371" s="13" t="s">
        <v>4501</v>
      </c>
      <c r="M1371" s="12">
        <v>272</v>
      </c>
      <c r="N1371" s="14">
        <v>0.35</v>
      </c>
      <c r="O1371" s="12">
        <v>150</v>
      </c>
      <c r="P1371" s="12">
        <v>210</v>
      </c>
      <c r="Q1371" s="12">
        <v>8</v>
      </c>
      <c r="R1371" s="13" t="s">
        <v>43</v>
      </c>
      <c r="S1371" s="13"/>
      <c r="T1371" s="15">
        <v>2117</v>
      </c>
      <c r="U1371" s="13" t="s">
        <v>44</v>
      </c>
      <c r="V1371" s="13" t="s">
        <v>45</v>
      </c>
      <c r="W1371" s="12">
        <v>10</v>
      </c>
      <c r="X1371" s="33" t="str">
        <f>HYPERLINK("https://www.alpinabook.ru/catalog/book-igraya-ne-po-pravilam","ссылка на книгу")</f>
        <v>ссылка на книгу</v>
      </c>
      <c r="Y1371" s="34" t="str">
        <f>HYPERLINK("https://api-enni.alpina.ru/FilePrivilegesApproval/356","https://api-enni.alpina.ru/FilePrivilegesApproval/356")</f>
        <v>https://api-enni.alpina.ru/FilePrivilegesApproval/356</v>
      </c>
      <c r="Z1371" s="13"/>
      <c r="AT1371" s="1">
        <f t="shared" si="238"/>
        <v>0</v>
      </c>
      <c r="AU1371" s="1">
        <f t="shared" si="239"/>
        <v>0</v>
      </c>
      <c r="AV1371" s="1">
        <f t="shared" si="240"/>
        <v>0</v>
      </c>
      <c r="AW1371" s="1">
        <f t="shared" si="241"/>
        <v>0</v>
      </c>
      <c r="AX1371" s="1">
        <f t="shared" si="242"/>
        <v>0</v>
      </c>
    </row>
    <row r="1372" spans="1:50" s="1" customFormat="1" ht="24.95" customHeight="1" outlineLevel="3" x14ac:dyDescent="0.2">
      <c r="A1372" s="26"/>
      <c r="B1372" s="27">
        <v>740</v>
      </c>
      <c r="C1372" s="28">
        <v>1090</v>
      </c>
      <c r="D1372" s="27">
        <v>17646</v>
      </c>
      <c r="E1372" s="29" t="s">
        <v>4502</v>
      </c>
      <c r="F1372" s="29" t="s">
        <v>4503</v>
      </c>
      <c r="G1372" s="29" t="s">
        <v>97</v>
      </c>
      <c r="H1372" s="29"/>
      <c r="I1372" s="27">
        <v>2020</v>
      </c>
      <c r="J1372" s="29" t="s">
        <v>4504</v>
      </c>
      <c r="K1372" s="27">
        <v>9785907274549</v>
      </c>
      <c r="L1372" s="29" t="s">
        <v>4505</v>
      </c>
      <c r="M1372" s="27">
        <v>288</v>
      </c>
      <c r="N1372" s="30">
        <v>0.45</v>
      </c>
      <c r="O1372" s="27">
        <v>168</v>
      </c>
      <c r="P1372" s="27">
        <v>241</v>
      </c>
      <c r="Q1372" s="27">
        <v>6</v>
      </c>
      <c r="R1372" s="29" t="s">
        <v>94</v>
      </c>
      <c r="S1372" s="29"/>
      <c r="T1372" s="28">
        <v>3000</v>
      </c>
      <c r="U1372" s="29" t="s">
        <v>52</v>
      </c>
      <c r="V1372" s="29" t="s">
        <v>64</v>
      </c>
      <c r="W1372" s="27">
        <v>10</v>
      </c>
      <c r="X1372" s="37" t="str">
        <f>HYPERLINK("https://www.alpinabook.ru/catalog/book-640402","ссылка на книгу")</f>
        <v>ссылка на книгу</v>
      </c>
      <c r="Y1372" s="38" t="str">
        <f>HYPERLINK("https://api-enni.alpina.ru/FilePrivilegesApproval/67","https://api-enni.alpina.ru/FilePrivilegesApproval/67")</f>
        <v>https://api-enni.alpina.ru/FilePrivilegesApproval/67</v>
      </c>
      <c r="Z1372" s="29"/>
      <c r="AT1372" s="1">
        <f t="shared" si="238"/>
        <v>0</v>
      </c>
      <c r="AU1372" s="1">
        <f t="shared" si="239"/>
        <v>0</v>
      </c>
      <c r="AV1372" s="1">
        <f t="shared" si="240"/>
        <v>0</v>
      </c>
      <c r="AW1372" s="1">
        <f t="shared" si="241"/>
        <v>0</v>
      </c>
      <c r="AX1372" s="1">
        <f t="shared" si="242"/>
        <v>0</v>
      </c>
    </row>
    <row r="1373" spans="1:50" s="1" customFormat="1" ht="21.95" customHeight="1" outlineLevel="3" x14ac:dyDescent="0.2">
      <c r="A1373" s="11"/>
      <c r="B1373" s="15">
        <v>1950</v>
      </c>
      <c r="C1373" s="15">
        <v>2490</v>
      </c>
      <c r="D1373" s="12">
        <v>31923</v>
      </c>
      <c r="E1373" s="13" t="s">
        <v>95</v>
      </c>
      <c r="F1373" s="13" t="s">
        <v>96</v>
      </c>
      <c r="G1373" s="13" t="s">
        <v>97</v>
      </c>
      <c r="H1373" s="13"/>
      <c r="I1373" s="12">
        <v>2025</v>
      </c>
      <c r="J1373" s="13" t="s">
        <v>98</v>
      </c>
      <c r="K1373" s="12">
        <v>9785206003925</v>
      </c>
      <c r="L1373" s="13" t="s">
        <v>99</v>
      </c>
      <c r="M1373" s="12">
        <v>306</v>
      </c>
      <c r="N1373" s="14">
        <v>0.47</v>
      </c>
      <c r="O1373" s="12">
        <v>170</v>
      </c>
      <c r="P1373" s="12">
        <v>220</v>
      </c>
      <c r="Q1373" s="12">
        <v>7</v>
      </c>
      <c r="R1373" s="13" t="s">
        <v>100</v>
      </c>
      <c r="S1373" s="13"/>
      <c r="T1373" s="15">
        <v>3005</v>
      </c>
      <c r="U1373" s="13" t="s">
        <v>44</v>
      </c>
      <c r="V1373" s="13" t="s">
        <v>45</v>
      </c>
      <c r="W1373" s="12">
        <v>10</v>
      </c>
      <c r="X1373" s="33" t="str">
        <f>HYPERLINK("https://www.alpinabook.ru/catalog/book-ispoved-samozvantsa-predprinimatelya","ссылка на книгу")</f>
        <v>ссылка на книгу</v>
      </c>
      <c r="Y1373" s="34" t="str">
        <f>HYPERLINK("","")</f>
        <v/>
      </c>
      <c r="Z1373" s="13" t="s">
        <v>101</v>
      </c>
      <c r="AT1373" s="1">
        <f t="shared" si="238"/>
        <v>0</v>
      </c>
      <c r="AU1373" s="1">
        <f t="shared" si="239"/>
        <v>0</v>
      </c>
      <c r="AV1373" s="1">
        <f t="shared" si="240"/>
        <v>0</v>
      </c>
      <c r="AW1373" s="1">
        <f t="shared" si="241"/>
        <v>0</v>
      </c>
      <c r="AX1373" s="1">
        <f t="shared" si="242"/>
        <v>0</v>
      </c>
    </row>
    <row r="1374" spans="1:50" s="1" customFormat="1" ht="24.95" customHeight="1" outlineLevel="3" x14ac:dyDescent="0.2">
      <c r="A1374" s="11"/>
      <c r="B1374" s="12">
        <v>890</v>
      </c>
      <c r="C1374" s="15">
        <v>1290</v>
      </c>
      <c r="D1374" s="12">
        <v>25991</v>
      </c>
      <c r="E1374" s="13" t="s">
        <v>4506</v>
      </c>
      <c r="F1374" s="13" t="s">
        <v>4507</v>
      </c>
      <c r="G1374" s="13" t="s">
        <v>97</v>
      </c>
      <c r="H1374" s="13"/>
      <c r="I1374" s="12">
        <v>2022</v>
      </c>
      <c r="J1374" s="13" t="s">
        <v>4508</v>
      </c>
      <c r="K1374" s="12">
        <v>9785206000481</v>
      </c>
      <c r="L1374" s="13" t="s">
        <v>4509</v>
      </c>
      <c r="M1374" s="12">
        <v>411</v>
      </c>
      <c r="N1374" s="14">
        <v>0.77</v>
      </c>
      <c r="O1374" s="12">
        <v>168</v>
      </c>
      <c r="P1374" s="12">
        <v>241</v>
      </c>
      <c r="Q1374" s="12">
        <v>5</v>
      </c>
      <c r="R1374" s="13" t="s">
        <v>94</v>
      </c>
      <c r="S1374" s="13"/>
      <c r="T1374" s="15">
        <v>6510</v>
      </c>
      <c r="U1374" s="13" t="s">
        <v>52</v>
      </c>
      <c r="V1374" s="13" t="s">
        <v>45</v>
      </c>
      <c r="W1374" s="12">
        <v>10</v>
      </c>
      <c r="X1374" s="33" t="str">
        <f>HYPERLINK("https://www.alpinabook.ru/catalog/book-istoriya-ip","ссылка на книгу")</f>
        <v>ссылка на книгу</v>
      </c>
      <c r="Y1374" s="34" t="str">
        <f>HYPERLINK("https://api-enni.alpina.ru/FilePrivilegesApproval/155","https://api-enni.alpina.ru/FilePrivilegesApproval/155")</f>
        <v>https://api-enni.alpina.ru/FilePrivilegesApproval/155</v>
      </c>
      <c r="Z1374" s="13"/>
      <c r="AT1374" s="1">
        <f t="shared" si="238"/>
        <v>0</v>
      </c>
      <c r="AU1374" s="1">
        <f t="shared" si="239"/>
        <v>0</v>
      </c>
      <c r="AV1374" s="1">
        <f t="shared" si="240"/>
        <v>0</v>
      </c>
      <c r="AW1374" s="1">
        <f t="shared" si="241"/>
        <v>0</v>
      </c>
      <c r="AX1374" s="1">
        <f t="shared" si="242"/>
        <v>0</v>
      </c>
    </row>
    <row r="1375" spans="1:50" s="1" customFormat="1" ht="24.95" customHeight="1" outlineLevel="3" x14ac:dyDescent="0.2">
      <c r="A1375" s="11"/>
      <c r="B1375" s="12">
        <v>540</v>
      </c>
      <c r="C1375" s="12">
        <v>790</v>
      </c>
      <c r="D1375" s="12">
        <v>12265</v>
      </c>
      <c r="E1375" s="13" t="s">
        <v>4510</v>
      </c>
      <c r="F1375" s="13" t="s">
        <v>4511</v>
      </c>
      <c r="G1375" s="13" t="s">
        <v>97</v>
      </c>
      <c r="H1375" s="13"/>
      <c r="I1375" s="12">
        <v>2024</v>
      </c>
      <c r="J1375" s="13" t="s">
        <v>4512</v>
      </c>
      <c r="K1375" s="12">
        <v>9785907274389</v>
      </c>
      <c r="L1375" s="13" t="s">
        <v>4513</v>
      </c>
      <c r="M1375" s="12">
        <v>208</v>
      </c>
      <c r="N1375" s="14">
        <v>0.36</v>
      </c>
      <c r="O1375" s="12">
        <v>150</v>
      </c>
      <c r="P1375" s="12">
        <v>220</v>
      </c>
      <c r="Q1375" s="12">
        <v>10</v>
      </c>
      <c r="R1375" s="13" t="s">
        <v>43</v>
      </c>
      <c r="S1375" s="13"/>
      <c r="T1375" s="15">
        <v>1000</v>
      </c>
      <c r="U1375" s="13" t="s">
        <v>52</v>
      </c>
      <c r="V1375" s="13" t="s">
        <v>59</v>
      </c>
      <c r="W1375" s="12">
        <v>10</v>
      </c>
      <c r="X1375" s="33" t="str">
        <f>HYPERLINK("https://www.alpinabook.ru/catalog/book-kak-vyzhit-esli-tebe-20","ссылка на книгу")</f>
        <v>ссылка на книгу</v>
      </c>
      <c r="Y1375" s="34" t="str">
        <f>HYPERLINK("https://api-enni.alpina.ru/FilePrivilegesApproval/399","https://api-enni.alpina.ru/FilePrivilegesApproval/399")</f>
        <v>https://api-enni.alpina.ru/FilePrivilegesApproval/399</v>
      </c>
      <c r="Z1375" s="13"/>
      <c r="AT1375" s="1">
        <f t="shared" si="238"/>
        <v>0</v>
      </c>
      <c r="AU1375" s="1">
        <f t="shared" si="239"/>
        <v>0</v>
      </c>
      <c r="AV1375" s="1">
        <f t="shared" si="240"/>
        <v>0</v>
      </c>
      <c r="AW1375" s="1">
        <f t="shared" si="241"/>
        <v>0</v>
      </c>
      <c r="AX1375" s="1">
        <f t="shared" si="242"/>
        <v>0</v>
      </c>
    </row>
    <row r="1376" spans="1:50" s="1" customFormat="1" ht="24.95" customHeight="1" outlineLevel="3" x14ac:dyDescent="0.2">
      <c r="A1376" s="11"/>
      <c r="B1376" s="12">
        <v>790</v>
      </c>
      <c r="C1376" s="15">
        <v>1190</v>
      </c>
      <c r="D1376" s="12">
        <v>6818</v>
      </c>
      <c r="E1376" s="13" t="s">
        <v>4514</v>
      </c>
      <c r="F1376" s="13" t="s">
        <v>4515</v>
      </c>
      <c r="G1376" s="13" t="s">
        <v>56</v>
      </c>
      <c r="H1376" s="13"/>
      <c r="I1376" s="12">
        <v>2025</v>
      </c>
      <c r="J1376" s="13" t="s">
        <v>4516</v>
      </c>
      <c r="K1376" s="12">
        <v>9785961468991</v>
      </c>
      <c r="L1376" s="13" t="s">
        <v>4517</v>
      </c>
      <c r="M1376" s="12">
        <v>251</v>
      </c>
      <c r="N1376" s="14">
        <v>0.41</v>
      </c>
      <c r="O1376" s="12">
        <v>140</v>
      </c>
      <c r="P1376" s="12">
        <v>220</v>
      </c>
      <c r="Q1376" s="12">
        <v>14</v>
      </c>
      <c r="R1376" s="13" t="s">
        <v>43</v>
      </c>
      <c r="S1376" s="13"/>
      <c r="T1376" s="15">
        <v>1500</v>
      </c>
      <c r="U1376" s="13" t="s">
        <v>52</v>
      </c>
      <c r="V1376" s="13" t="s">
        <v>89</v>
      </c>
      <c r="W1376" s="12">
        <v>10</v>
      </c>
      <c r="X1376" s="33" t="str">
        <f>HYPERLINK("https://www.alpinabook.ru/catalog/book-kak-stat-biznesmenom","ссылка на книгу")</f>
        <v>ссылка на книгу</v>
      </c>
      <c r="Y1376" s="34" t="str">
        <f>HYPERLINK("https://api-enni.alpina.ru/FilePrivilegesApproval/2","https://api-enni.alpina.ru/FilePrivilegesApproval/2")</f>
        <v>https://api-enni.alpina.ru/FilePrivilegesApproval/2</v>
      </c>
      <c r="Z1376" s="13"/>
      <c r="AT1376" s="1">
        <f t="shared" si="238"/>
        <v>0</v>
      </c>
      <c r="AU1376" s="1">
        <f t="shared" si="239"/>
        <v>0</v>
      </c>
      <c r="AV1376" s="1">
        <f t="shared" si="240"/>
        <v>0</v>
      </c>
      <c r="AW1376" s="1">
        <f t="shared" si="241"/>
        <v>0</v>
      </c>
      <c r="AX1376" s="1">
        <f t="shared" si="242"/>
        <v>0</v>
      </c>
    </row>
    <row r="1377" spans="1:50" s="1" customFormat="1" ht="24.95" customHeight="1" outlineLevel="3" x14ac:dyDescent="0.2">
      <c r="A1377" s="11"/>
      <c r="B1377" s="12">
        <v>690</v>
      </c>
      <c r="C1377" s="12">
        <v>990</v>
      </c>
      <c r="D1377" s="12">
        <v>7800</v>
      </c>
      <c r="E1377" s="13" t="s">
        <v>4518</v>
      </c>
      <c r="F1377" s="13" t="s">
        <v>4519</v>
      </c>
      <c r="G1377" s="13" t="s">
        <v>56</v>
      </c>
      <c r="H1377" s="13" t="s">
        <v>40</v>
      </c>
      <c r="I1377" s="12">
        <v>2023</v>
      </c>
      <c r="J1377" s="13" t="s">
        <v>4520</v>
      </c>
      <c r="K1377" s="12">
        <v>9785961469561</v>
      </c>
      <c r="L1377" s="13" t="s">
        <v>4521</v>
      </c>
      <c r="M1377" s="12">
        <v>224</v>
      </c>
      <c r="N1377" s="14">
        <v>0.49</v>
      </c>
      <c r="O1377" s="12">
        <v>168</v>
      </c>
      <c r="P1377" s="12">
        <v>241</v>
      </c>
      <c r="Q1377" s="12">
        <v>9</v>
      </c>
      <c r="R1377" s="13" t="s">
        <v>94</v>
      </c>
      <c r="S1377" s="13"/>
      <c r="T1377" s="15">
        <v>3000</v>
      </c>
      <c r="U1377" s="13" t="s">
        <v>52</v>
      </c>
      <c r="V1377" s="13" t="s">
        <v>64</v>
      </c>
      <c r="W1377" s="12">
        <v>10</v>
      </c>
      <c r="X1377" s="33" t="str">
        <f>HYPERLINK("https://www.alpinabook.ru/catalog/book-kak-ya-sozdal-walmart","ссылка на книгу")</f>
        <v>ссылка на книгу</v>
      </c>
      <c r="Y1377" s="34" t="str">
        <f>HYPERLINK("https://api-enni.alpina.ru/FilePrivilegesApproval/141","https://api-enni.alpina.ru/FilePrivilegesApproval/141")</f>
        <v>https://api-enni.alpina.ru/FilePrivilegesApproval/141</v>
      </c>
      <c r="Z1377" s="13"/>
      <c r="AT1377" s="1">
        <f t="shared" si="238"/>
        <v>0</v>
      </c>
      <c r="AU1377" s="1">
        <f t="shared" si="239"/>
        <v>0</v>
      </c>
      <c r="AV1377" s="1">
        <f t="shared" si="240"/>
        <v>0</v>
      </c>
      <c r="AW1377" s="1">
        <f t="shared" si="241"/>
        <v>0</v>
      </c>
      <c r="AX1377" s="1">
        <f t="shared" si="242"/>
        <v>0</v>
      </c>
    </row>
    <row r="1378" spans="1:50" s="1" customFormat="1" ht="24.95" customHeight="1" outlineLevel="3" x14ac:dyDescent="0.2">
      <c r="A1378" s="26"/>
      <c r="B1378" s="27">
        <v>890</v>
      </c>
      <c r="C1378" s="28">
        <v>1290</v>
      </c>
      <c r="D1378" s="27">
        <v>11189</v>
      </c>
      <c r="E1378" s="29" t="s">
        <v>4522</v>
      </c>
      <c r="F1378" s="29" t="s">
        <v>4523</v>
      </c>
      <c r="G1378" s="29" t="s">
        <v>97</v>
      </c>
      <c r="H1378" s="29" t="s">
        <v>40</v>
      </c>
      <c r="I1378" s="27">
        <v>2024</v>
      </c>
      <c r="J1378" s="29" t="s">
        <v>4524</v>
      </c>
      <c r="K1378" s="27">
        <v>9785907470248</v>
      </c>
      <c r="L1378" s="29" t="s">
        <v>4525</v>
      </c>
      <c r="M1378" s="27">
        <v>376</v>
      </c>
      <c r="N1378" s="30">
        <v>0.74</v>
      </c>
      <c r="O1378" s="27">
        <v>170</v>
      </c>
      <c r="P1378" s="27">
        <v>240</v>
      </c>
      <c r="Q1378" s="27">
        <v>5</v>
      </c>
      <c r="R1378" s="29" t="s">
        <v>94</v>
      </c>
      <c r="S1378" s="29"/>
      <c r="T1378" s="28">
        <v>1000</v>
      </c>
      <c r="U1378" s="29" t="s">
        <v>52</v>
      </c>
      <c r="V1378" s="29" t="s">
        <v>64</v>
      </c>
      <c r="W1378" s="27">
        <v>10</v>
      </c>
      <c r="X1378" s="37" t="str">
        <f>HYPERLINK("https://www.alpinabook.ru/catalog/book-korol-kapitala","ссылка на книгу")</f>
        <v>ссылка на книгу</v>
      </c>
      <c r="Y1378" s="38" t="str">
        <f>HYPERLINK("https://api-enni.alpina.ru/FilePrivilegesApproval/501","https://api-enni.alpina.ru/FilePrivilegesApproval/501")</f>
        <v>https://api-enni.alpina.ru/FilePrivilegesApproval/501</v>
      </c>
      <c r="Z1378" s="29" t="s">
        <v>4526</v>
      </c>
      <c r="AT1378" s="1">
        <f t="shared" si="238"/>
        <v>0</v>
      </c>
      <c r="AU1378" s="1">
        <f t="shared" si="239"/>
        <v>0</v>
      </c>
      <c r="AV1378" s="1">
        <f t="shared" si="240"/>
        <v>0</v>
      </c>
      <c r="AW1378" s="1">
        <f t="shared" si="241"/>
        <v>0</v>
      </c>
      <c r="AX1378" s="1">
        <f t="shared" si="242"/>
        <v>0</v>
      </c>
    </row>
    <row r="1379" spans="1:50" s="1" customFormat="1" ht="24.95" customHeight="1" outlineLevel="3" x14ac:dyDescent="0.2">
      <c r="A1379" s="11"/>
      <c r="B1379" s="12">
        <v>990</v>
      </c>
      <c r="C1379" s="12">
        <v>990</v>
      </c>
      <c r="D1379" s="12">
        <v>22911</v>
      </c>
      <c r="E1379" s="13" t="s">
        <v>4527</v>
      </c>
      <c r="F1379" s="13" t="s">
        <v>4528</v>
      </c>
      <c r="G1379" s="13" t="s">
        <v>97</v>
      </c>
      <c r="H1379" s="13" t="s">
        <v>40</v>
      </c>
      <c r="I1379" s="12">
        <v>2022</v>
      </c>
      <c r="J1379" s="13" t="s">
        <v>4529</v>
      </c>
      <c r="K1379" s="12">
        <v>9785907470316</v>
      </c>
      <c r="L1379" s="13" t="s">
        <v>4530</v>
      </c>
      <c r="M1379" s="12">
        <v>310</v>
      </c>
      <c r="N1379" s="14">
        <v>0.61</v>
      </c>
      <c r="O1379" s="12">
        <v>168</v>
      </c>
      <c r="P1379" s="12">
        <v>241</v>
      </c>
      <c r="Q1379" s="12">
        <v>6</v>
      </c>
      <c r="R1379" s="13" t="s">
        <v>94</v>
      </c>
      <c r="S1379" s="13"/>
      <c r="T1379" s="15">
        <v>2000</v>
      </c>
      <c r="U1379" s="13" t="s">
        <v>52</v>
      </c>
      <c r="V1379" s="13" t="s">
        <v>89</v>
      </c>
      <c r="W1379" s="12">
        <v>10</v>
      </c>
      <c r="X1379" s="33" t="str">
        <f>HYPERLINK("https://www.alpinabook.ru/catalog/book-milliard-za-mechtu","ссылка на книгу")</f>
        <v>ссылка на книгу</v>
      </c>
      <c r="Y1379" s="34" t="str">
        <f>HYPERLINK("https://api-enni.alpina.ru/FilePrivilegesApproval/130","https://api-enni.alpina.ru/FilePrivilegesApproval/130")</f>
        <v>https://api-enni.alpina.ru/FilePrivilegesApproval/130</v>
      </c>
      <c r="Z1379" s="13"/>
      <c r="AT1379" s="1">
        <f t="shared" si="238"/>
        <v>0</v>
      </c>
      <c r="AU1379" s="1">
        <f t="shared" si="239"/>
        <v>0</v>
      </c>
      <c r="AV1379" s="1">
        <f t="shared" si="240"/>
        <v>0</v>
      </c>
      <c r="AW1379" s="1">
        <f t="shared" si="241"/>
        <v>0</v>
      </c>
      <c r="AX1379" s="1">
        <f t="shared" si="242"/>
        <v>0</v>
      </c>
    </row>
    <row r="1380" spans="1:50" s="1" customFormat="1" ht="24.95" customHeight="1" outlineLevel="3" x14ac:dyDescent="0.2">
      <c r="A1380" s="11"/>
      <c r="B1380" s="12">
        <v>590</v>
      </c>
      <c r="C1380" s="12">
        <v>840</v>
      </c>
      <c r="D1380" s="12">
        <v>30422</v>
      </c>
      <c r="E1380" s="13" t="s">
        <v>4531</v>
      </c>
      <c r="F1380" s="13" t="s">
        <v>4532</v>
      </c>
      <c r="G1380" s="13" t="s">
        <v>97</v>
      </c>
      <c r="H1380" s="13"/>
      <c r="I1380" s="12">
        <v>2024</v>
      </c>
      <c r="J1380" s="13" t="s">
        <v>4533</v>
      </c>
      <c r="K1380" s="12">
        <v>9785206003253</v>
      </c>
      <c r="L1380" s="13" t="s">
        <v>4534</v>
      </c>
      <c r="M1380" s="12">
        <v>160</v>
      </c>
      <c r="N1380" s="14">
        <v>0.3</v>
      </c>
      <c r="O1380" s="12">
        <v>150</v>
      </c>
      <c r="P1380" s="12">
        <v>220</v>
      </c>
      <c r="Q1380" s="12">
        <v>8</v>
      </c>
      <c r="R1380" s="13" t="s">
        <v>43</v>
      </c>
      <c r="S1380" s="13"/>
      <c r="T1380" s="15">
        <v>2003</v>
      </c>
      <c r="U1380" s="13" t="s">
        <v>52</v>
      </c>
      <c r="V1380" s="13" t="s">
        <v>59</v>
      </c>
      <c r="W1380" s="12">
        <v>10</v>
      </c>
      <c r="X1380" s="33" t="str">
        <f>HYPERLINK("https://www.alpinabook.ru/catalog/book-molochnye-reki","ссылка на книгу")</f>
        <v>ссылка на книгу</v>
      </c>
      <c r="Y1380" s="34" t="str">
        <f>HYPERLINK("https://api-enni.alpina.ru/FilePrivilegesApproval/708","https://api-enni.alpina.ru/FilePrivilegesApproval/708")</f>
        <v>https://api-enni.alpina.ru/FilePrivilegesApproval/708</v>
      </c>
      <c r="Z1380" s="13"/>
      <c r="AT1380" s="1">
        <f t="shared" si="238"/>
        <v>0</v>
      </c>
      <c r="AU1380" s="1">
        <f t="shared" si="239"/>
        <v>0</v>
      </c>
      <c r="AV1380" s="1">
        <f t="shared" si="240"/>
        <v>0</v>
      </c>
      <c r="AW1380" s="1">
        <f t="shared" si="241"/>
        <v>0</v>
      </c>
      <c r="AX1380" s="1">
        <f t="shared" si="242"/>
        <v>0</v>
      </c>
    </row>
    <row r="1381" spans="1:50" s="1" customFormat="1" ht="24.95" customHeight="1" outlineLevel="3" x14ac:dyDescent="0.2">
      <c r="A1381" s="26"/>
      <c r="B1381" s="27">
        <v>740</v>
      </c>
      <c r="C1381" s="28">
        <v>1090</v>
      </c>
      <c r="D1381" s="27">
        <v>27021</v>
      </c>
      <c r="E1381" s="29" t="s">
        <v>580</v>
      </c>
      <c r="F1381" s="29" t="s">
        <v>581</v>
      </c>
      <c r="G1381" s="29" t="s">
        <v>97</v>
      </c>
      <c r="H1381" s="29"/>
      <c r="I1381" s="27">
        <v>2025</v>
      </c>
      <c r="J1381" s="29" t="s">
        <v>582</v>
      </c>
      <c r="K1381" s="27">
        <v>9785206001228</v>
      </c>
      <c r="L1381" s="29" t="s">
        <v>583</v>
      </c>
      <c r="M1381" s="27">
        <v>169</v>
      </c>
      <c r="N1381" s="30">
        <v>0.31</v>
      </c>
      <c r="O1381" s="27">
        <v>150</v>
      </c>
      <c r="P1381" s="27">
        <v>220</v>
      </c>
      <c r="Q1381" s="27">
        <v>10</v>
      </c>
      <c r="R1381" s="29" t="s">
        <v>43</v>
      </c>
      <c r="S1381" s="29"/>
      <c r="T1381" s="28">
        <v>1000</v>
      </c>
      <c r="U1381" s="29" t="s">
        <v>52</v>
      </c>
      <c r="V1381" s="29" t="s">
        <v>59</v>
      </c>
      <c r="W1381" s="27">
        <v>10</v>
      </c>
      <c r="X1381" s="37" t="str">
        <f>HYPERLINK("https://www.alpinabook.ru/catalog/book-naverkhu","ссылка на книгу")</f>
        <v>ссылка на книгу</v>
      </c>
      <c r="Y1381" s="38" t="str">
        <f>HYPERLINK("https://api-enni.alpina.ru/FilePrivilegesApproval/168","https://api-enni.alpina.ru/FilePrivilegesApproval/168")</f>
        <v>https://api-enni.alpina.ru/FilePrivilegesApproval/168</v>
      </c>
      <c r="Z1381" s="29" t="s">
        <v>53</v>
      </c>
      <c r="AT1381" s="1">
        <f t="shared" si="238"/>
        <v>0</v>
      </c>
      <c r="AU1381" s="1">
        <f t="shared" si="239"/>
        <v>0</v>
      </c>
      <c r="AV1381" s="1">
        <f t="shared" si="240"/>
        <v>0</v>
      </c>
      <c r="AW1381" s="1">
        <f t="shared" si="241"/>
        <v>0</v>
      </c>
      <c r="AX1381" s="1">
        <f t="shared" si="242"/>
        <v>0</v>
      </c>
    </row>
    <row r="1382" spans="1:50" s="1" customFormat="1" ht="24.95" customHeight="1" outlineLevel="3" x14ac:dyDescent="0.2">
      <c r="A1382" s="11"/>
      <c r="B1382" s="12">
        <v>490</v>
      </c>
      <c r="C1382" s="12">
        <v>490</v>
      </c>
      <c r="D1382" s="12">
        <v>23085</v>
      </c>
      <c r="E1382" s="13" t="s">
        <v>4535</v>
      </c>
      <c r="F1382" s="13" t="s">
        <v>4536</v>
      </c>
      <c r="G1382" s="13" t="s">
        <v>97</v>
      </c>
      <c r="H1382" s="13"/>
      <c r="I1382" s="12">
        <v>2021</v>
      </c>
      <c r="J1382" s="13" t="s">
        <v>4537</v>
      </c>
      <c r="K1382" s="12">
        <v>9785907470156</v>
      </c>
      <c r="L1382" s="13" t="s">
        <v>4538</v>
      </c>
      <c r="M1382" s="12">
        <v>128</v>
      </c>
      <c r="N1382" s="14">
        <v>0.3</v>
      </c>
      <c r="O1382" s="12">
        <v>146</v>
      </c>
      <c r="P1382" s="12">
        <v>216</v>
      </c>
      <c r="Q1382" s="12">
        <v>12</v>
      </c>
      <c r="R1382" s="13" t="s">
        <v>43</v>
      </c>
      <c r="S1382" s="13"/>
      <c r="T1382" s="15">
        <v>2500</v>
      </c>
      <c r="U1382" s="13" t="s">
        <v>52</v>
      </c>
      <c r="V1382" s="13" t="s">
        <v>59</v>
      </c>
      <c r="W1382" s="12">
        <v>10</v>
      </c>
      <c r="X1382" s="33" t="str">
        <f>HYPERLINK("https://www.alpinabook.ru/catalog/book-osnovy-frilansa","ссылка на книгу")</f>
        <v>ссылка на книгу</v>
      </c>
      <c r="Y1382" s="34" t="str">
        <f>HYPERLINK("https://api-enni.alpina.ru/FilePrivilegesApproval/120","https://api-enni.alpina.ru/FilePrivilegesApproval/120")</f>
        <v>https://api-enni.alpina.ru/FilePrivilegesApproval/120</v>
      </c>
      <c r="Z1382" s="13"/>
      <c r="AT1382" s="1">
        <f t="shared" si="238"/>
        <v>0</v>
      </c>
      <c r="AU1382" s="1">
        <f t="shared" si="239"/>
        <v>0</v>
      </c>
      <c r="AV1382" s="1">
        <f t="shared" si="240"/>
        <v>0</v>
      </c>
      <c r="AW1382" s="1">
        <f t="shared" si="241"/>
        <v>0</v>
      </c>
      <c r="AX1382" s="1">
        <f t="shared" si="242"/>
        <v>0</v>
      </c>
    </row>
    <row r="1383" spans="1:50" s="1" customFormat="1" ht="24.95" customHeight="1" outlineLevel="3" x14ac:dyDescent="0.2">
      <c r="A1383" s="26"/>
      <c r="B1383" s="27">
        <v>590</v>
      </c>
      <c r="C1383" s="27">
        <v>840</v>
      </c>
      <c r="D1383" s="27">
        <v>12807</v>
      </c>
      <c r="E1383" s="29" t="s">
        <v>626</v>
      </c>
      <c r="F1383" s="29" t="s">
        <v>627</v>
      </c>
      <c r="G1383" s="29" t="s">
        <v>56</v>
      </c>
      <c r="H1383" s="29" t="s">
        <v>40</v>
      </c>
      <c r="I1383" s="27">
        <v>2025</v>
      </c>
      <c r="J1383" s="29" t="s">
        <v>628</v>
      </c>
      <c r="K1383" s="27">
        <v>9785961431421</v>
      </c>
      <c r="L1383" s="29" t="s">
        <v>629</v>
      </c>
      <c r="M1383" s="27">
        <v>312</v>
      </c>
      <c r="N1383" s="30">
        <v>0.47</v>
      </c>
      <c r="O1383" s="27">
        <v>150</v>
      </c>
      <c r="P1383" s="27">
        <v>220</v>
      </c>
      <c r="Q1383" s="27">
        <v>55</v>
      </c>
      <c r="R1383" s="29" t="s">
        <v>43</v>
      </c>
      <c r="S1383" s="29"/>
      <c r="T1383" s="28">
        <v>1000</v>
      </c>
      <c r="U1383" s="29" t="s">
        <v>52</v>
      </c>
      <c r="V1383" s="29" t="s">
        <v>45</v>
      </c>
      <c r="W1383" s="27">
        <v>10</v>
      </c>
      <c r="X1383" s="37" t="str">
        <f>HYPERLINK("https://www.alpinabook.ru/catalog/book-pisma-bezosa","ссылка на книгу")</f>
        <v>ссылка на книгу</v>
      </c>
      <c r="Y1383" s="38" t="str">
        <f>HYPERLINK("https://api-enni.alpina.ru/FilePrivilegesApproval/37","https://api-enni.alpina.ru/FilePrivilegesApproval/37")</f>
        <v>https://api-enni.alpina.ru/FilePrivilegesApproval/37</v>
      </c>
      <c r="Z1383" s="29" t="s">
        <v>65</v>
      </c>
      <c r="AT1383" s="1">
        <f t="shared" si="238"/>
        <v>0</v>
      </c>
      <c r="AU1383" s="1">
        <f t="shared" si="239"/>
        <v>0</v>
      </c>
      <c r="AV1383" s="1">
        <f t="shared" si="240"/>
        <v>0</v>
      </c>
      <c r="AW1383" s="1">
        <f t="shared" si="241"/>
        <v>0</v>
      </c>
      <c r="AX1383" s="1">
        <f t="shared" si="242"/>
        <v>0</v>
      </c>
    </row>
    <row r="1384" spans="1:50" s="1" customFormat="1" ht="24.95" customHeight="1" outlineLevel="3" x14ac:dyDescent="0.2">
      <c r="A1384" s="11"/>
      <c r="B1384" s="12">
        <v>790</v>
      </c>
      <c r="C1384" s="15">
        <v>1190</v>
      </c>
      <c r="D1384" s="12">
        <v>23300</v>
      </c>
      <c r="E1384" s="13" t="s">
        <v>638</v>
      </c>
      <c r="F1384" s="13" t="s">
        <v>639</v>
      </c>
      <c r="G1384" s="13" t="s">
        <v>56</v>
      </c>
      <c r="H1384" s="13" t="s">
        <v>40</v>
      </c>
      <c r="I1384" s="12">
        <v>2025</v>
      </c>
      <c r="J1384" s="13" t="s">
        <v>640</v>
      </c>
      <c r="K1384" s="12">
        <v>9785961472066</v>
      </c>
      <c r="L1384" s="13" t="s">
        <v>641</v>
      </c>
      <c r="M1384" s="12">
        <v>338</v>
      </c>
      <c r="N1384" s="14">
        <v>0.7</v>
      </c>
      <c r="O1384" s="12">
        <v>170</v>
      </c>
      <c r="P1384" s="12">
        <v>250</v>
      </c>
      <c r="Q1384" s="12">
        <v>5</v>
      </c>
      <c r="R1384" s="13" t="s">
        <v>94</v>
      </c>
      <c r="S1384" s="13"/>
      <c r="T1384" s="15">
        <v>1000</v>
      </c>
      <c r="U1384" s="13" t="s">
        <v>52</v>
      </c>
      <c r="V1384" s="13" t="s">
        <v>59</v>
      </c>
      <c r="W1384" s="12">
        <v>10</v>
      </c>
      <c r="X1384" s="33" t="str">
        <f>HYPERLINK("","ссылка на книгу")</f>
        <v>ссылка на книгу</v>
      </c>
      <c r="Y1384" s="34" t="str">
        <f>HYPERLINK("https://api-enni.alpina.ru/FilePrivilegesApproval/152","https://api-enni.alpina.ru/FilePrivilegesApproval/152")</f>
        <v>https://api-enni.alpina.ru/FilePrivilegesApproval/152</v>
      </c>
      <c r="Z1384" s="13" t="s">
        <v>101</v>
      </c>
      <c r="AT1384" s="1">
        <f t="shared" si="238"/>
        <v>0</v>
      </c>
      <c r="AU1384" s="1">
        <f t="shared" si="239"/>
        <v>0</v>
      </c>
      <c r="AV1384" s="1">
        <f t="shared" si="240"/>
        <v>0</v>
      </c>
      <c r="AW1384" s="1">
        <f t="shared" si="241"/>
        <v>0</v>
      </c>
      <c r="AX1384" s="1">
        <f t="shared" si="242"/>
        <v>0</v>
      </c>
    </row>
    <row r="1385" spans="1:50" s="1" customFormat="1" ht="24.95" customHeight="1" outlineLevel="3" x14ac:dyDescent="0.2">
      <c r="A1385" s="26"/>
      <c r="B1385" s="27">
        <v>650</v>
      </c>
      <c r="C1385" s="27">
        <v>650</v>
      </c>
      <c r="D1385" s="27">
        <v>17454</v>
      </c>
      <c r="E1385" s="29" t="s">
        <v>4539</v>
      </c>
      <c r="F1385" s="29" t="s">
        <v>4540</v>
      </c>
      <c r="G1385" s="29" t="s">
        <v>56</v>
      </c>
      <c r="H1385" s="29"/>
      <c r="I1385" s="27">
        <v>2019</v>
      </c>
      <c r="J1385" s="29" t="s">
        <v>4541</v>
      </c>
      <c r="K1385" s="27">
        <v>9785907274075</v>
      </c>
      <c r="L1385" s="29" t="s">
        <v>4542</v>
      </c>
      <c r="M1385" s="27">
        <v>248</v>
      </c>
      <c r="N1385" s="30">
        <v>0.39</v>
      </c>
      <c r="O1385" s="27">
        <v>146</v>
      </c>
      <c r="P1385" s="27">
        <v>216</v>
      </c>
      <c r="Q1385" s="27">
        <v>14</v>
      </c>
      <c r="R1385" s="29" t="s">
        <v>43</v>
      </c>
      <c r="S1385" s="29"/>
      <c r="T1385" s="28">
        <v>1000</v>
      </c>
      <c r="U1385" s="29" t="s">
        <v>52</v>
      </c>
      <c r="V1385" s="29" t="s">
        <v>59</v>
      </c>
      <c r="W1385" s="27">
        <v>10</v>
      </c>
      <c r="X1385" s="37" t="str">
        <f>HYPERLINK("https://www.alpinabook.ru/catalog/book-594291","ссылка на книгу")</f>
        <v>ссылка на книгу</v>
      </c>
      <c r="Y1385" s="38" t="str">
        <f>HYPERLINK("https://api-enni.alpina.ru/FilePrivilegesApproval/36","https://api-enni.alpina.ru/FilePrivilegesApproval/36")</f>
        <v>https://api-enni.alpina.ru/FilePrivilegesApproval/36</v>
      </c>
      <c r="Z1385" s="29"/>
      <c r="AT1385" s="1">
        <f t="shared" si="238"/>
        <v>0</v>
      </c>
      <c r="AU1385" s="1">
        <f t="shared" si="239"/>
        <v>0</v>
      </c>
      <c r="AV1385" s="1">
        <f t="shared" si="240"/>
        <v>0</v>
      </c>
      <c r="AW1385" s="1">
        <f t="shared" si="241"/>
        <v>0</v>
      </c>
      <c r="AX1385" s="1">
        <f t="shared" si="242"/>
        <v>0</v>
      </c>
    </row>
    <row r="1386" spans="1:50" s="1" customFormat="1" ht="24.95" customHeight="1" outlineLevel="3" x14ac:dyDescent="0.2">
      <c r="A1386" s="11"/>
      <c r="B1386" s="12">
        <v>690</v>
      </c>
      <c r="C1386" s="12">
        <v>990</v>
      </c>
      <c r="D1386" s="12">
        <v>31224</v>
      </c>
      <c r="E1386" s="13" t="s">
        <v>4543</v>
      </c>
      <c r="F1386" s="13" t="s">
        <v>4544</v>
      </c>
      <c r="G1386" s="13" t="s">
        <v>97</v>
      </c>
      <c r="H1386" s="13"/>
      <c r="I1386" s="12">
        <v>2024</v>
      </c>
      <c r="J1386" s="13" t="s">
        <v>4545</v>
      </c>
      <c r="K1386" s="12">
        <v>9785206003567</v>
      </c>
      <c r="L1386" s="13" t="s">
        <v>4546</v>
      </c>
      <c r="M1386" s="12">
        <v>336</v>
      </c>
      <c r="N1386" s="14">
        <v>0.66</v>
      </c>
      <c r="O1386" s="12">
        <v>170</v>
      </c>
      <c r="P1386" s="12">
        <v>240</v>
      </c>
      <c r="Q1386" s="12">
        <v>5</v>
      </c>
      <c r="R1386" s="13" t="s">
        <v>94</v>
      </c>
      <c r="S1386" s="13"/>
      <c r="T1386" s="15">
        <v>1000</v>
      </c>
      <c r="U1386" s="13" t="s">
        <v>52</v>
      </c>
      <c r="V1386" s="13" t="s">
        <v>89</v>
      </c>
      <c r="W1386" s="12">
        <v>20</v>
      </c>
      <c r="X1386" s="33" t="str">
        <f>HYPERLINK("https://www.alpinabook.ru/catalog/book-pravila-dlya-muzhchin","ссылка на книгу")</f>
        <v>ссылка на книгу</v>
      </c>
      <c r="Y1386" s="34" t="str">
        <f>HYPERLINK("https://api-enni.alpina.ru/FilePrivilegesApproval/570","https://api-enni.alpina.ru/FilePrivilegesApproval/570")</f>
        <v>https://api-enni.alpina.ru/FilePrivilegesApproval/570</v>
      </c>
      <c r="Z1386" s="13" t="s">
        <v>865</v>
      </c>
      <c r="AT1386" s="1">
        <f t="shared" si="238"/>
        <v>0</v>
      </c>
      <c r="AU1386" s="1">
        <f t="shared" si="239"/>
        <v>0</v>
      </c>
      <c r="AV1386" s="1">
        <f t="shared" si="240"/>
        <v>0</v>
      </c>
      <c r="AW1386" s="1">
        <f t="shared" si="241"/>
        <v>0</v>
      </c>
      <c r="AX1386" s="1">
        <f t="shared" si="242"/>
        <v>0</v>
      </c>
    </row>
    <row r="1387" spans="1:50" s="1" customFormat="1" ht="24.95" customHeight="1" outlineLevel="3" x14ac:dyDescent="0.2">
      <c r="A1387" s="26"/>
      <c r="B1387" s="27">
        <v>440</v>
      </c>
      <c r="C1387" s="27">
        <v>440</v>
      </c>
      <c r="D1387" s="27">
        <v>11903</v>
      </c>
      <c r="E1387" s="29" t="s">
        <v>4547</v>
      </c>
      <c r="F1387" s="29" t="s">
        <v>4548</v>
      </c>
      <c r="G1387" s="29" t="s">
        <v>56</v>
      </c>
      <c r="H1387" s="29"/>
      <c r="I1387" s="27">
        <v>2019</v>
      </c>
      <c r="J1387" s="29" t="s">
        <v>4549</v>
      </c>
      <c r="K1387" s="27">
        <v>9785907274013</v>
      </c>
      <c r="L1387" s="29" t="s">
        <v>4550</v>
      </c>
      <c r="M1387" s="27">
        <v>312</v>
      </c>
      <c r="N1387" s="30">
        <v>0.62</v>
      </c>
      <c r="O1387" s="27">
        <v>168</v>
      </c>
      <c r="P1387" s="27">
        <v>241</v>
      </c>
      <c r="Q1387" s="27">
        <v>8</v>
      </c>
      <c r="R1387" s="29" t="s">
        <v>94</v>
      </c>
      <c r="S1387" s="29"/>
      <c r="T1387" s="28">
        <v>2000</v>
      </c>
      <c r="U1387" s="29" t="s">
        <v>52</v>
      </c>
      <c r="V1387" s="29" t="s">
        <v>59</v>
      </c>
      <c r="W1387" s="27">
        <v>10</v>
      </c>
      <c r="X1387" s="37" t="str">
        <f>HYPERLINK("https://www.alpinabook.ru/catalog/book-593587","ссылка на книгу")</f>
        <v>ссылка на книгу</v>
      </c>
      <c r="Y1387" s="38" t="str">
        <f>HYPERLINK("https://api-enni.alpina.ru/FilePrivilegesApproval/36","https://api-enni.alpina.ru/FilePrivilegesApproval/36")</f>
        <v>https://api-enni.alpina.ru/FilePrivilegesApproval/36</v>
      </c>
      <c r="Z1387" s="29"/>
      <c r="AT1387" s="1">
        <f t="shared" si="238"/>
        <v>0</v>
      </c>
      <c r="AU1387" s="1">
        <f t="shared" si="239"/>
        <v>0</v>
      </c>
      <c r="AV1387" s="1">
        <f t="shared" si="240"/>
        <v>0</v>
      </c>
      <c r="AW1387" s="1">
        <f t="shared" si="241"/>
        <v>0</v>
      </c>
      <c r="AX1387" s="1">
        <f t="shared" si="242"/>
        <v>0</v>
      </c>
    </row>
    <row r="1388" spans="1:50" s="1" customFormat="1" ht="24.95" customHeight="1" outlineLevel="3" x14ac:dyDescent="0.2">
      <c r="A1388" s="11"/>
      <c r="B1388" s="12">
        <v>790</v>
      </c>
      <c r="C1388" s="15">
        <v>1190</v>
      </c>
      <c r="D1388" s="12">
        <v>31102</v>
      </c>
      <c r="E1388" s="13" t="s">
        <v>4551</v>
      </c>
      <c r="F1388" s="13" t="s">
        <v>4552</v>
      </c>
      <c r="G1388" s="13" t="s">
        <v>97</v>
      </c>
      <c r="H1388" s="13"/>
      <c r="I1388" s="12">
        <v>2024</v>
      </c>
      <c r="J1388" s="13" t="s">
        <v>4553</v>
      </c>
      <c r="K1388" s="12">
        <v>9785206003499</v>
      </c>
      <c r="L1388" s="13" t="s">
        <v>4554</v>
      </c>
      <c r="M1388" s="12">
        <v>342</v>
      </c>
      <c r="N1388" s="14">
        <v>0.51</v>
      </c>
      <c r="O1388" s="12">
        <v>150</v>
      </c>
      <c r="P1388" s="12">
        <v>220</v>
      </c>
      <c r="Q1388" s="12">
        <v>6</v>
      </c>
      <c r="R1388" s="13" t="s">
        <v>43</v>
      </c>
      <c r="S1388" s="13"/>
      <c r="T1388" s="15">
        <v>2000</v>
      </c>
      <c r="U1388" s="13" t="s">
        <v>52</v>
      </c>
      <c r="V1388" s="13" t="s">
        <v>89</v>
      </c>
      <c r="W1388" s="12">
        <v>20</v>
      </c>
      <c r="X1388" s="33" t="str">
        <f>HYPERLINK("https://www.alpinabook.ru/catalog/book-sdelano-po-nastoyashchemu","ссылка на книгу")</f>
        <v>ссылка на книгу</v>
      </c>
      <c r="Y1388" s="34" t="str">
        <f>HYPERLINK("https://api-enni.alpina.ru/FilePrivilegesApproval/570","https://api-enni.alpina.ru/FilePrivilegesApproval/570")</f>
        <v>https://api-enni.alpina.ru/FilePrivilegesApproval/570</v>
      </c>
      <c r="Z1388" s="13"/>
      <c r="AT1388" s="1">
        <f t="shared" si="238"/>
        <v>0</v>
      </c>
      <c r="AU1388" s="1">
        <f t="shared" si="239"/>
        <v>0</v>
      </c>
      <c r="AV1388" s="1">
        <f t="shared" si="240"/>
        <v>0</v>
      </c>
      <c r="AW1388" s="1">
        <f t="shared" si="241"/>
        <v>0</v>
      </c>
      <c r="AX1388" s="1">
        <f t="shared" si="242"/>
        <v>0</v>
      </c>
    </row>
    <row r="1389" spans="1:50" s="1" customFormat="1" ht="21.95" customHeight="1" outlineLevel="3" x14ac:dyDescent="0.2">
      <c r="A1389" s="26"/>
      <c r="B1389" s="27">
        <v>890</v>
      </c>
      <c r="C1389" s="28">
        <v>1290</v>
      </c>
      <c r="D1389" s="27">
        <v>18291</v>
      </c>
      <c r="E1389" s="29" t="s">
        <v>207</v>
      </c>
      <c r="F1389" s="29" t="s">
        <v>4555</v>
      </c>
      <c r="G1389" s="29" t="s">
        <v>49</v>
      </c>
      <c r="H1389" s="29" t="s">
        <v>40</v>
      </c>
      <c r="I1389" s="27">
        <v>2023</v>
      </c>
      <c r="J1389" s="29" t="s">
        <v>4556</v>
      </c>
      <c r="K1389" s="27">
        <v>9786018011061</v>
      </c>
      <c r="L1389" s="29" t="s">
        <v>4557</v>
      </c>
      <c r="M1389" s="27">
        <v>668</v>
      </c>
      <c r="N1389" s="30">
        <v>0.74</v>
      </c>
      <c r="O1389" s="27">
        <v>150</v>
      </c>
      <c r="P1389" s="27">
        <v>220</v>
      </c>
      <c r="Q1389" s="27">
        <v>10</v>
      </c>
      <c r="R1389" s="29" t="s">
        <v>43</v>
      </c>
      <c r="S1389" s="29"/>
      <c r="T1389" s="28">
        <v>1500</v>
      </c>
      <c r="U1389" s="29" t="s">
        <v>52</v>
      </c>
      <c r="V1389" s="29" t="s">
        <v>59</v>
      </c>
      <c r="W1389" s="27">
        <v>20</v>
      </c>
      <c r="X1389" s="37" t="str">
        <f>HYPERLINK("https://www.alpinabook.ru/catalog/book-sotsialnaya-set-izmenivshaya-mir","ссылка на книгу")</f>
        <v>ссылка на книгу</v>
      </c>
      <c r="Y1389" s="38" t="str">
        <f>HYPERLINK("","")</f>
        <v/>
      </c>
      <c r="Z1389" s="29"/>
      <c r="AT1389" s="1">
        <f t="shared" si="238"/>
        <v>0</v>
      </c>
      <c r="AU1389" s="1">
        <f t="shared" si="239"/>
        <v>0</v>
      </c>
      <c r="AV1389" s="1">
        <f t="shared" si="240"/>
        <v>0</v>
      </c>
      <c r="AW1389" s="1">
        <f t="shared" si="241"/>
        <v>0</v>
      </c>
      <c r="AX1389" s="1">
        <f t="shared" si="242"/>
        <v>0</v>
      </c>
    </row>
    <row r="1390" spans="1:50" s="1" customFormat="1" ht="21.95" customHeight="1" outlineLevel="3" x14ac:dyDescent="0.2">
      <c r="A1390" s="11"/>
      <c r="B1390" s="12">
        <v>890</v>
      </c>
      <c r="C1390" s="15">
        <v>1290</v>
      </c>
      <c r="D1390" s="12">
        <v>33940</v>
      </c>
      <c r="E1390" s="13" t="s">
        <v>207</v>
      </c>
      <c r="F1390" s="13" t="s">
        <v>208</v>
      </c>
      <c r="G1390" s="13" t="s">
        <v>56</v>
      </c>
      <c r="H1390" s="13" t="s">
        <v>40</v>
      </c>
      <c r="I1390" s="12">
        <v>2025</v>
      </c>
      <c r="J1390" s="13" t="s">
        <v>209</v>
      </c>
      <c r="K1390" s="12">
        <v>9785006306011</v>
      </c>
      <c r="L1390" s="13" t="s">
        <v>210</v>
      </c>
      <c r="M1390" s="12">
        <v>668</v>
      </c>
      <c r="N1390" s="14">
        <v>0.75</v>
      </c>
      <c r="O1390" s="12">
        <v>150</v>
      </c>
      <c r="P1390" s="12">
        <v>220</v>
      </c>
      <c r="Q1390" s="12">
        <v>4</v>
      </c>
      <c r="R1390" s="13" t="s">
        <v>43</v>
      </c>
      <c r="S1390" s="13"/>
      <c r="T1390" s="15">
        <v>1000</v>
      </c>
      <c r="U1390" s="13" t="s">
        <v>52</v>
      </c>
      <c r="V1390" s="13" t="s">
        <v>59</v>
      </c>
      <c r="W1390" s="12">
        <v>20</v>
      </c>
      <c r="X1390" s="33" t="str">
        <f>HYPERLINK("https://www.alpinabook.ru/catalog/book-sotsialnaya-set-izmenivshaya-mir","ссылка на книгу")</f>
        <v>ссылка на книгу</v>
      </c>
      <c r="Y1390" s="34" t="str">
        <f>HYPERLINK("","")</f>
        <v/>
      </c>
      <c r="Z1390" s="13" t="s">
        <v>65</v>
      </c>
      <c r="AT1390" s="1">
        <f t="shared" si="238"/>
        <v>0</v>
      </c>
      <c r="AU1390" s="1">
        <f t="shared" si="239"/>
        <v>0</v>
      </c>
      <c r="AV1390" s="1">
        <f t="shared" si="240"/>
        <v>0</v>
      </c>
      <c r="AW1390" s="1">
        <f t="shared" si="241"/>
        <v>0</v>
      </c>
      <c r="AX1390" s="1">
        <f t="shared" si="242"/>
        <v>0</v>
      </c>
    </row>
    <row r="1391" spans="1:50" s="1" customFormat="1" ht="24.95" customHeight="1" outlineLevel="3" x14ac:dyDescent="0.2">
      <c r="A1391" s="11"/>
      <c r="B1391" s="12">
        <v>790</v>
      </c>
      <c r="C1391" s="15">
        <v>1190</v>
      </c>
      <c r="D1391" s="12">
        <v>30197</v>
      </c>
      <c r="E1391" s="13" t="s">
        <v>4558</v>
      </c>
      <c r="F1391" s="13" t="s">
        <v>4559</v>
      </c>
      <c r="G1391" s="13" t="s">
        <v>97</v>
      </c>
      <c r="H1391" s="13"/>
      <c r="I1391" s="12">
        <v>2024</v>
      </c>
      <c r="J1391" s="13" t="s">
        <v>4560</v>
      </c>
      <c r="K1391" s="12">
        <v>9785206003116</v>
      </c>
      <c r="L1391" s="13" t="s">
        <v>4561</v>
      </c>
      <c r="M1391" s="12">
        <v>320</v>
      </c>
      <c r="N1391" s="14">
        <v>0.5</v>
      </c>
      <c r="O1391" s="12">
        <v>150</v>
      </c>
      <c r="P1391" s="12">
        <v>220</v>
      </c>
      <c r="Q1391" s="12">
        <v>5</v>
      </c>
      <c r="R1391" s="13" t="s">
        <v>43</v>
      </c>
      <c r="S1391" s="13"/>
      <c r="T1391" s="15">
        <v>1505</v>
      </c>
      <c r="U1391" s="13" t="s">
        <v>52</v>
      </c>
      <c r="V1391" s="13" t="s">
        <v>45</v>
      </c>
      <c r="W1391" s="12">
        <v>20</v>
      </c>
      <c r="X1391" s="33" t="str">
        <f>HYPERLINK("https://www.alpinabook.ru/catalog/book-tugaya-upakovka","ссылка на книгу")</f>
        <v>ссылка на книгу</v>
      </c>
      <c r="Y1391" s="34" t="str">
        <f>HYPERLINK("https://api-enni.alpina.ru/FilePrivilegesApproval/409","https://api-enni.alpina.ru/FilePrivilegesApproval/409")</f>
        <v>https://api-enni.alpina.ru/FilePrivilegesApproval/409</v>
      </c>
      <c r="Z1391" s="13"/>
      <c r="AT1391" s="1">
        <f t="shared" si="238"/>
        <v>0</v>
      </c>
      <c r="AU1391" s="1">
        <f t="shared" si="239"/>
        <v>0</v>
      </c>
      <c r="AV1391" s="1">
        <f t="shared" si="240"/>
        <v>0</v>
      </c>
      <c r="AW1391" s="1">
        <f t="shared" si="241"/>
        <v>0</v>
      </c>
      <c r="AX1391" s="1">
        <f t="shared" si="242"/>
        <v>0</v>
      </c>
    </row>
    <row r="1392" spans="1:50" s="1" customFormat="1" ht="24.95" customHeight="1" outlineLevel="3" x14ac:dyDescent="0.2">
      <c r="A1392" s="11"/>
      <c r="B1392" s="12">
        <v>690</v>
      </c>
      <c r="C1392" s="12">
        <v>990</v>
      </c>
      <c r="D1392" s="12">
        <v>27717</v>
      </c>
      <c r="E1392" s="13" t="s">
        <v>4562</v>
      </c>
      <c r="F1392" s="13" t="s">
        <v>4563</v>
      </c>
      <c r="G1392" s="13" t="s">
        <v>97</v>
      </c>
      <c r="H1392" s="13"/>
      <c r="I1392" s="12">
        <v>2023</v>
      </c>
      <c r="J1392" s="13" t="s">
        <v>4564</v>
      </c>
      <c r="K1392" s="12">
        <v>9785206001778</v>
      </c>
      <c r="L1392" s="13" t="s">
        <v>4565</v>
      </c>
      <c r="M1392" s="12">
        <v>256</v>
      </c>
      <c r="N1392" s="14">
        <v>0.5</v>
      </c>
      <c r="O1392" s="12">
        <v>150</v>
      </c>
      <c r="P1392" s="12">
        <v>220</v>
      </c>
      <c r="Q1392" s="12">
        <v>6</v>
      </c>
      <c r="R1392" s="13" t="s">
        <v>43</v>
      </c>
      <c r="S1392" s="13"/>
      <c r="T1392" s="15">
        <v>3505</v>
      </c>
      <c r="U1392" s="13" t="s">
        <v>52</v>
      </c>
      <c r="V1392" s="13" t="s">
        <v>59</v>
      </c>
      <c r="W1392" s="12">
        <v>10</v>
      </c>
      <c r="X1392" s="33" t="str">
        <f>HYPERLINK("https://www.alpinabook.ru/catalog/book-hvostonomika","ссылка на книгу")</f>
        <v>ссылка на книгу</v>
      </c>
      <c r="Y1392" s="34" t="str">
        <f>HYPERLINK("https://api-enni.alpina.ru/FilePrivilegesApproval/237","https://api-enni.alpina.ru/FilePrivilegesApproval/237")</f>
        <v>https://api-enni.alpina.ru/FilePrivilegesApproval/237</v>
      </c>
      <c r="Z1392" s="13"/>
      <c r="AT1392" s="1">
        <f t="shared" si="238"/>
        <v>0</v>
      </c>
      <c r="AU1392" s="1">
        <f t="shared" si="239"/>
        <v>0</v>
      </c>
      <c r="AV1392" s="1">
        <f t="shared" si="240"/>
        <v>0</v>
      </c>
      <c r="AW1392" s="1">
        <f t="shared" si="241"/>
        <v>0</v>
      </c>
      <c r="AX1392" s="1">
        <f t="shared" si="242"/>
        <v>0</v>
      </c>
    </row>
    <row r="1393" spans="1:50" s="1" customFormat="1" ht="21.95" customHeight="1" outlineLevel="3" x14ac:dyDescent="0.2">
      <c r="A1393" s="11"/>
      <c r="B1393" s="12">
        <v>890</v>
      </c>
      <c r="C1393" s="15">
        <v>1290</v>
      </c>
      <c r="D1393" s="12">
        <v>32013</v>
      </c>
      <c r="E1393" s="13" t="s">
        <v>4566</v>
      </c>
      <c r="F1393" s="13" t="s">
        <v>4567</v>
      </c>
      <c r="G1393" s="13" t="s">
        <v>97</v>
      </c>
      <c r="H1393" s="13"/>
      <c r="I1393" s="12">
        <v>2025</v>
      </c>
      <c r="J1393" s="13" t="s">
        <v>4568</v>
      </c>
      <c r="K1393" s="12">
        <v>9785206003994</v>
      </c>
      <c r="L1393" s="13" t="s">
        <v>4569</v>
      </c>
      <c r="M1393" s="12">
        <v>351</v>
      </c>
      <c r="N1393" s="14">
        <v>0.73</v>
      </c>
      <c r="O1393" s="12">
        <v>180</v>
      </c>
      <c r="P1393" s="12">
        <v>240</v>
      </c>
      <c r="Q1393" s="12">
        <v>6</v>
      </c>
      <c r="R1393" s="13" t="s">
        <v>94</v>
      </c>
      <c r="S1393" s="13"/>
      <c r="T1393" s="15">
        <v>1505</v>
      </c>
      <c r="U1393" s="13" t="s">
        <v>52</v>
      </c>
      <c r="V1393" s="13" t="s">
        <v>89</v>
      </c>
      <c r="W1393" s="12">
        <v>20</v>
      </c>
      <c r="X1393" s="33" t="str">
        <f>HYPERLINK("https://www.alpinabook.ru/catalog/book-epokha-peremen","ссылка на книгу")</f>
        <v>ссылка на книгу</v>
      </c>
      <c r="Y1393" s="34" t="str">
        <f>HYPERLINK("","")</f>
        <v/>
      </c>
      <c r="Z1393" s="13"/>
      <c r="AT1393" s="1">
        <f t="shared" si="238"/>
        <v>0</v>
      </c>
      <c r="AU1393" s="1">
        <f t="shared" si="239"/>
        <v>0</v>
      </c>
      <c r="AV1393" s="1">
        <f t="shared" si="240"/>
        <v>0</v>
      </c>
      <c r="AW1393" s="1">
        <f t="shared" si="241"/>
        <v>0</v>
      </c>
      <c r="AX1393" s="1">
        <f t="shared" si="242"/>
        <v>0</v>
      </c>
    </row>
    <row r="1394" spans="1:50" ht="11.1" customHeight="1" outlineLevel="2" x14ac:dyDescent="0.2">
      <c r="A1394" s="40" t="s">
        <v>4570</v>
      </c>
      <c r="B1394" s="40"/>
      <c r="C1394" s="40"/>
      <c r="D1394" s="40"/>
      <c r="E1394" s="40"/>
      <c r="F1394" s="40"/>
      <c r="G1394" s="40"/>
      <c r="H1394" s="40"/>
      <c r="I1394" s="40"/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20"/>
    </row>
    <row r="1395" spans="1:50" s="1" customFormat="1" ht="24.95" customHeight="1" outlineLevel="3" x14ac:dyDescent="0.2">
      <c r="A1395" s="11"/>
      <c r="B1395" s="12">
        <v>890</v>
      </c>
      <c r="C1395" s="15">
        <v>1290</v>
      </c>
      <c r="D1395" s="12">
        <v>26020</v>
      </c>
      <c r="E1395" s="13" t="s">
        <v>1313</v>
      </c>
      <c r="F1395" s="13" t="s">
        <v>4571</v>
      </c>
      <c r="G1395" s="13" t="s">
        <v>56</v>
      </c>
      <c r="H1395" s="13"/>
      <c r="I1395" s="12">
        <v>2024</v>
      </c>
      <c r="J1395" s="13" t="s">
        <v>4572</v>
      </c>
      <c r="K1395" s="12">
        <v>9785961477399</v>
      </c>
      <c r="L1395" s="13" t="s">
        <v>4573</v>
      </c>
      <c r="M1395" s="12">
        <v>428</v>
      </c>
      <c r="N1395" s="14">
        <v>0.67</v>
      </c>
      <c r="O1395" s="12">
        <v>170</v>
      </c>
      <c r="P1395" s="12">
        <v>240</v>
      </c>
      <c r="Q1395" s="12">
        <v>6</v>
      </c>
      <c r="R1395" s="13" t="s">
        <v>94</v>
      </c>
      <c r="S1395" s="13"/>
      <c r="T1395" s="15">
        <v>2000</v>
      </c>
      <c r="U1395" s="13" t="s">
        <v>44</v>
      </c>
      <c r="V1395" s="13" t="s">
        <v>45</v>
      </c>
      <c r="W1395" s="12">
        <v>10</v>
      </c>
      <c r="X1395" s="33" t="str">
        <f>HYPERLINK("https://www.alpinabook.ru/catalog/book-487-khakov","ссылка на книгу")</f>
        <v>ссылка на книгу</v>
      </c>
      <c r="Y1395" s="34" t="str">
        <f>HYPERLINK("https://api-enni.alpina.ru/FilePrivilegesApproval/177","https://api-enni.alpina.ru/FilePrivilegesApproval/177")</f>
        <v>https://api-enni.alpina.ru/FilePrivilegesApproval/177</v>
      </c>
      <c r="Z1395" s="13"/>
      <c r="AT1395" s="1">
        <f t="shared" ref="AT1395:AT1422" si="243">IF($A1395&lt;&gt;0,1,0)</f>
        <v>0</v>
      </c>
      <c r="AU1395" s="1">
        <f t="shared" ref="AU1395:AU1422" si="244">$A1395*$B1395</f>
        <v>0</v>
      </c>
      <c r="AV1395" s="1">
        <f t="shared" ref="AV1395:AV1422" si="245">$A1395*$N1395</f>
        <v>0</v>
      </c>
      <c r="AW1395" s="1">
        <f t="shared" ref="AW1395:AW1422" si="246">IF($Q1395=0,0,INT($A1395/$Q1395))</f>
        <v>0</v>
      </c>
      <c r="AX1395" s="1">
        <f t="shared" ref="AX1395:AX1422" si="247">$A1395-$AW1395*$Q1395</f>
        <v>0</v>
      </c>
    </row>
    <row r="1396" spans="1:50" s="1" customFormat="1" ht="24.95" customHeight="1" outlineLevel="3" x14ac:dyDescent="0.2">
      <c r="A1396" s="11"/>
      <c r="B1396" s="12">
        <v>690</v>
      </c>
      <c r="C1396" s="12">
        <v>990</v>
      </c>
      <c r="D1396" s="12">
        <v>24423</v>
      </c>
      <c r="E1396" s="13" t="s">
        <v>1073</v>
      </c>
      <c r="F1396" s="13" t="s">
        <v>4574</v>
      </c>
      <c r="G1396" s="13" t="s">
        <v>97</v>
      </c>
      <c r="H1396" s="13" t="s">
        <v>40</v>
      </c>
      <c r="I1396" s="12">
        <v>2024</v>
      </c>
      <c r="J1396" s="13" t="s">
        <v>4575</v>
      </c>
      <c r="K1396" s="12">
        <v>9785907470767</v>
      </c>
      <c r="L1396" s="13" t="s">
        <v>4576</v>
      </c>
      <c r="M1396" s="12">
        <v>122</v>
      </c>
      <c r="N1396" s="14">
        <v>0.21</v>
      </c>
      <c r="O1396" s="12">
        <v>133</v>
      </c>
      <c r="P1396" s="12">
        <v>206</v>
      </c>
      <c r="Q1396" s="12">
        <v>10</v>
      </c>
      <c r="R1396" s="13" t="s">
        <v>82</v>
      </c>
      <c r="S1396" s="13"/>
      <c r="T1396" s="15">
        <v>1000</v>
      </c>
      <c r="U1396" s="13" t="s">
        <v>52</v>
      </c>
      <c r="V1396" s="13" t="s">
        <v>64</v>
      </c>
      <c r="W1396" s="12">
        <v>10</v>
      </c>
      <c r="X1396" s="33" t="str">
        <f>HYPERLINK("https://www.alpinabook.ru/catalog/book-7-navykov-vysokoeffektivnykh-professionalov-setevogo-marketinga","ссылка на книгу")</f>
        <v>ссылка на книгу</v>
      </c>
      <c r="Y1396" s="34" t="str">
        <f>HYPERLINK("https://api-enni.alpina.ru/FilePrivilegesApproval/120","https://api-enni.alpina.ru/FilePrivilegesApproval/120")</f>
        <v>https://api-enni.alpina.ru/FilePrivilegesApproval/120</v>
      </c>
      <c r="Z1396" s="13"/>
      <c r="AT1396" s="1">
        <f t="shared" si="243"/>
        <v>0</v>
      </c>
      <c r="AU1396" s="1">
        <f t="shared" si="244"/>
        <v>0</v>
      </c>
      <c r="AV1396" s="1">
        <f t="shared" si="245"/>
        <v>0</v>
      </c>
      <c r="AW1396" s="1">
        <f t="shared" si="246"/>
        <v>0</v>
      </c>
      <c r="AX1396" s="1">
        <f t="shared" si="247"/>
        <v>0</v>
      </c>
    </row>
    <row r="1397" spans="1:50" s="1" customFormat="1" ht="24.95" customHeight="1" outlineLevel="3" x14ac:dyDescent="0.2">
      <c r="A1397" s="11"/>
      <c r="B1397" s="12">
        <v>890</v>
      </c>
      <c r="C1397" s="15">
        <v>1290</v>
      </c>
      <c r="D1397" s="12">
        <v>24221</v>
      </c>
      <c r="E1397" s="13" t="s">
        <v>363</v>
      </c>
      <c r="F1397" s="13" t="s">
        <v>364</v>
      </c>
      <c r="G1397" s="13" t="s">
        <v>56</v>
      </c>
      <c r="H1397" s="13" t="s">
        <v>40</v>
      </c>
      <c r="I1397" s="12">
        <v>2025</v>
      </c>
      <c r="J1397" s="13" t="s">
        <v>365</v>
      </c>
      <c r="K1397" s="12">
        <v>9785961480306</v>
      </c>
      <c r="L1397" s="13" t="s">
        <v>366</v>
      </c>
      <c r="M1397" s="12">
        <v>196</v>
      </c>
      <c r="N1397" s="14">
        <v>0.34</v>
      </c>
      <c r="O1397" s="12">
        <v>150</v>
      </c>
      <c r="P1397" s="12">
        <v>220</v>
      </c>
      <c r="Q1397" s="12">
        <v>18</v>
      </c>
      <c r="R1397" s="13" t="s">
        <v>43</v>
      </c>
      <c r="S1397" s="13"/>
      <c r="T1397" s="15">
        <v>2000</v>
      </c>
      <c r="U1397" s="13" t="s">
        <v>52</v>
      </c>
      <c r="V1397" s="13" t="s">
        <v>64</v>
      </c>
      <c r="W1397" s="12">
        <v>10</v>
      </c>
      <c r="X1397" s="33" t="str">
        <f>HYPERLINK("https://www.alpinabook.ru/catalog/book-voronki-prodazh-storybrand","ссылка на книгу")</f>
        <v>ссылка на книгу</v>
      </c>
      <c r="Y1397" s="34" t="str">
        <f>HYPERLINK("https://api-enni.alpina.ru/FilePrivilegesApproval/135","https://api-enni.alpina.ru/FilePrivilegesApproval/135")</f>
        <v>https://api-enni.alpina.ru/FilePrivilegesApproval/135</v>
      </c>
      <c r="Z1397" s="13" t="s">
        <v>70</v>
      </c>
      <c r="AT1397" s="1">
        <f t="shared" si="243"/>
        <v>0</v>
      </c>
      <c r="AU1397" s="1">
        <f t="shared" si="244"/>
        <v>0</v>
      </c>
      <c r="AV1397" s="1">
        <f t="shared" si="245"/>
        <v>0</v>
      </c>
      <c r="AW1397" s="1">
        <f t="shared" si="246"/>
        <v>0</v>
      </c>
      <c r="AX1397" s="1">
        <f t="shared" si="247"/>
        <v>0</v>
      </c>
    </row>
    <row r="1398" spans="1:50" s="1" customFormat="1" ht="24.95" customHeight="1" outlineLevel="3" x14ac:dyDescent="0.2">
      <c r="A1398" s="11"/>
      <c r="B1398" s="12">
        <v>540</v>
      </c>
      <c r="C1398" s="12">
        <v>790</v>
      </c>
      <c r="D1398" s="12">
        <v>28422</v>
      </c>
      <c r="E1398" s="13" t="s">
        <v>4577</v>
      </c>
      <c r="F1398" s="13" t="s">
        <v>4578</v>
      </c>
      <c r="G1398" s="13" t="s">
        <v>97</v>
      </c>
      <c r="H1398" s="13"/>
      <c r="I1398" s="12">
        <v>2024</v>
      </c>
      <c r="J1398" s="13" t="s">
        <v>4579</v>
      </c>
      <c r="K1398" s="12">
        <v>9785206002072</v>
      </c>
      <c r="L1398" s="13" t="s">
        <v>4580</v>
      </c>
      <c r="M1398" s="12">
        <v>160</v>
      </c>
      <c r="N1398" s="14">
        <v>0.3</v>
      </c>
      <c r="O1398" s="12">
        <v>150</v>
      </c>
      <c r="P1398" s="12">
        <v>220</v>
      </c>
      <c r="Q1398" s="12">
        <v>8</v>
      </c>
      <c r="R1398" s="13" t="s">
        <v>43</v>
      </c>
      <c r="S1398" s="13"/>
      <c r="T1398" s="15">
        <v>1005</v>
      </c>
      <c r="U1398" s="13" t="s">
        <v>52</v>
      </c>
      <c r="V1398" s="13" t="s">
        <v>59</v>
      </c>
      <c r="W1398" s="12">
        <v>10</v>
      </c>
      <c r="X1398" s="33" t="str">
        <f>HYPERLINK("https://www.alpinabook.ru/catalog/book-golos-klienta","ссылка на книгу")</f>
        <v>ссылка на книгу</v>
      </c>
      <c r="Y1398" s="34" t="str">
        <f>HYPERLINK("https://api-enni.alpina.ru/FilePrivilegesApproval/394","https://api-enni.alpina.ru/FilePrivilegesApproval/394")</f>
        <v>https://api-enni.alpina.ru/FilePrivilegesApproval/394</v>
      </c>
      <c r="Z1398" s="13"/>
      <c r="AT1398" s="1">
        <f t="shared" si="243"/>
        <v>0</v>
      </c>
      <c r="AU1398" s="1">
        <f t="shared" si="244"/>
        <v>0</v>
      </c>
      <c r="AV1398" s="1">
        <f t="shared" si="245"/>
        <v>0</v>
      </c>
      <c r="AW1398" s="1">
        <f t="shared" si="246"/>
        <v>0</v>
      </c>
      <c r="AX1398" s="1">
        <f t="shared" si="247"/>
        <v>0</v>
      </c>
    </row>
    <row r="1399" spans="1:50" s="1" customFormat="1" ht="24.95" customHeight="1" outlineLevel="3" x14ac:dyDescent="0.2">
      <c r="A1399" s="11"/>
      <c r="B1399" s="12">
        <v>640</v>
      </c>
      <c r="C1399" s="12">
        <v>940</v>
      </c>
      <c r="D1399" s="12">
        <v>5298</v>
      </c>
      <c r="E1399" s="13" t="s">
        <v>401</v>
      </c>
      <c r="F1399" s="13" t="s">
        <v>402</v>
      </c>
      <c r="G1399" s="13" t="s">
        <v>56</v>
      </c>
      <c r="H1399" s="13" t="s">
        <v>40</v>
      </c>
      <c r="I1399" s="12">
        <v>2025</v>
      </c>
      <c r="J1399" s="13" t="s">
        <v>403</v>
      </c>
      <c r="K1399" s="12">
        <v>9785961468854</v>
      </c>
      <c r="L1399" s="13" t="s">
        <v>404</v>
      </c>
      <c r="M1399" s="12">
        <v>158</v>
      </c>
      <c r="N1399" s="14">
        <v>0.31</v>
      </c>
      <c r="O1399" s="12">
        <v>150</v>
      </c>
      <c r="P1399" s="12">
        <v>220</v>
      </c>
      <c r="Q1399" s="12">
        <v>10</v>
      </c>
      <c r="R1399" s="13" t="s">
        <v>43</v>
      </c>
      <c r="S1399" s="13"/>
      <c r="T1399" s="15">
        <v>1000</v>
      </c>
      <c r="U1399" s="13" t="s">
        <v>52</v>
      </c>
      <c r="V1399" s="13" t="s">
        <v>64</v>
      </c>
      <c r="W1399" s="12">
        <v>10</v>
      </c>
      <c r="X1399" s="33" t="str">
        <f>HYPERLINK("https://www.alpinabook.ru/catalog/book-desyat-smertnykh-grekhov-marketinga","ссылка на книгу")</f>
        <v>ссылка на книгу</v>
      </c>
      <c r="Y1399" s="34" t="str">
        <f>HYPERLINK("https://api-enni.alpina.ru/FilePrivilegesApproval/2","https://api-enni.alpina.ru/FilePrivilegesApproval/2")</f>
        <v>https://api-enni.alpina.ru/FilePrivilegesApproval/2</v>
      </c>
      <c r="Z1399" s="13" t="s">
        <v>405</v>
      </c>
      <c r="AT1399" s="1">
        <f t="shared" si="243"/>
        <v>0</v>
      </c>
      <c r="AU1399" s="1">
        <f t="shared" si="244"/>
        <v>0</v>
      </c>
      <c r="AV1399" s="1">
        <f t="shared" si="245"/>
        <v>0</v>
      </c>
      <c r="AW1399" s="1">
        <f t="shared" si="246"/>
        <v>0</v>
      </c>
      <c r="AX1399" s="1">
        <f t="shared" si="247"/>
        <v>0</v>
      </c>
    </row>
    <row r="1400" spans="1:50" s="1" customFormat="1" ht="24.95" customHeight="1" outlineLevel="3" x14ac:dyDescent="0.2">
      <c r="A1400" s="11"/>
      <c r="B1400" s="12">
        <v>640</v>
      </c>
      <c r="C1400" s="12">
        <v>790</v>
      </c>
      <c r="D1400" s="12">
        <v>5513</v>
      </c>
      <c r="E1400" s="13" t="s">
        <v>4581</v>
      </c>
      <c r="F1400" s="13" t="s">
        <v>4582</v>
      </c>
      <c r="G1400" s="13" t="s">
        <v>56</v>
      </c>
      <c r="H1400" s="13" t="s">
        <v>40</v>
      </c>
      <c r="I1400" s="12">
        <v>2024</v>
      </c>
      <c r="J1400" s="13" t="s">
        <v>4583</v>
      </c>
      <c r="K1400" s="12">
        <v>9785961465464</v>
      </c>
      <c r="L1400" s="13" t="s">
        <v>4584</v>
      </c>
      <c r="M1400" s="12">
        <v>344</v>
      </c>
      <c r="N1400" s="14">
        <v>0.54</v>
      </c>
      <c r="O1400" s="12">
        <v>163</v>
      </c>
      <c r="P1400" s="12">
        <v>235</v>
      </c>
      <c r="Q1400" s="12">
        <v>8</v>
      </c>
      <c r="R1400" s="13" t="s">
        <v>94</v>
      </c>
      <c r="S1400" s="13"/>
      <c r="T1400" s="15">
        <v>1500</v>
      </c>
      <c r="U1400" s="13" t="s">
        <v>44</v>
      </c>
      <c r="V1400" s="13" t="s">
        <v>64</v>
      </c>
      <c r="W1400" s="12">
        <v>10</v>
      </c>
      <c r="X1400" s="33" t="str">
        <f>HYPERLINK("https://www.alpinabook.ru/catalog/book-zhyestkiy-smm","ссылка на книгу")</f>
        <v>ссылка на книгу</v>
      </c>
      <c r="Y1400" s="34" t="str">
        <f>HYPERLINK("https://api-enni.alpina.ru/FilePrivilegesApproval/2","https://api-enni.alpina.ru/FilePrivilegesApproval/2")</f>
        <v>https://api-enni.alpina.ru/FilePrivilegesApproval/2</v>
      </c>
      <c r="Z1400" s="13"/>
      <c r="AT1400" s="1">
        <f t="shared" si="243"/>
        <v>0</v>
      </c>
      <c r="AU1400" s="1">
        <f t="shared" si="244"/>
        <v>0</v>
      </c>
      <c r="AV1400" s="1">
        <f t="shared" si="245"/>
        <v>0</v>
      </c>
      <c r="AW1400" s="1">
        <f t="shared" si="246"/>
        <v>0</v>
      </c>
      <c r="AX1400" s="1">
        <f t="shared" si="247"/>
        <v>0</v>
      </c>
    </row>
    <row r="1401" spans="1:50" s="1" customFormat="1" ht="24.95" customHeight="1" outlineLevel="3" x14ac:dyDescent="0.2">
      <c r="A1401" s="11"/>
      <c r="B1401" s="12">
        <v>890</v>
      </c>
      <c r="C1401" s="15">
        <v>1290</v>
      </c>
      <c r="D1401" s="12">
        <v>23397</v>
      </c>
      <c r="E1401" s="13" t="s">
        <v>4585</v>
      </c>
      <c r="F1401" s="13" t="s">
        <v>4586</v>
      </c>
      <c r="G1401" s="13" t="s">
        <v>97</v>
      </c>
      <c r="H1401" s="13"/>
      <c r="I1401" s="12">
        <v>2024</v>
      </c>
      <c r="J1401" s="13" t="s">
        <v>4587</v>
      </c>
      <c r="K1401" s="12">
        <v>9785907394940</v>
      </c>
      <c r="L1401" s="13" t="s">
        <v>4588</v>
      </c>
      <c r="M1401" s="12">
        <v>168</v>
      </c>
      <c r="N1401" s="14">
        <v>0.31</v>
      </c>
      <c r="O1401" s="12">
        <v>150</v>
      </c>
      <c r="P1401" s="12">
        <v>220</v>
      </c>
      <c r="Q1401" s="12">
        <v>10</v>
      </c>
      <c r="R1401" s="13" t="s">
        <v>43</v>
      </c>
      <c r="S1401" s="13"/>
      <c r="T1401" s="15">
        <v>1000</v>
      </c>
      <c r="U1401" s="13" t="s">
        <v>52</v>
      </c>
      <c r="V1401" s="13" t="s">
        <v>59</v>
      </c>
      <c r="W1401" s="12">
        <v>10</v>
      </c>
      <c r="X1401" s="33" t="str">
        <f>HYPERLINK("https://www.alpinabook.ru/catalog/book-zachem-piarshchiku-lineyka","ссылка на книгу")</f>
        <v>ссылка на книгу</v>
      </c>
      <c r="Y1401" s="34" t="str">
        <f>HYPERLINK("https://api-enni.alpina.ru/FilePrivilegesApproval/120","https://api-enni.alpina.ru/FilePrivilegesApproval/120")</f>
        <v>https://api-enni.alpina.ru/FilePrivilegesApproval/120</v>
      </c>
      <c r="Z1401" s="13" t="s">
        <v>392</v>
      </c>
      <c r="AT1401" s="1">
        <f t="shared" si="243"/>
        <v>0</v>
      </c>
      <c r="AU1401" s="1">
        <f t="shared" si="244"/>
        <v>0</v>
      </c>
      <c r="AV1401" s="1">
        <f t="shared" si="245"/>
        <v>0</v>
      </c>
      <c r="AW1401" s="1">
        <f t="shared" si="246"/>
        <v>0</v>
      </c>
      <c r="AX1401" s="1">
        <f t="shared" si="247"/>
        <v>0</v>
      </c>
    </row>
    <row r="1402" spans="1:50" s="1" customFormat="1" ht="24.95" customHeight="1" outlineLevel="3" x14ac:dyDescent="0.2">
      <c r="A1402" s="11"/>
      <c r="B1402" s="12">
        <v>990</v>
      </c>
      <c r="C1402" s="12">
        <v>990</v>
      </c>
      <c r="D1402" s="12">
        <v>11041</v>
      </c>
      <c r="E1402" s="13" t="s">
        <v>476</v>
      </c>
      <c r="F1402" s="13" t="s">
        <v>477</v>
      </c>
      <c r="G1402" s="13" t="s">
        <v>56</v>
      </c>
      <c r="H1402" s="13" t="s">
        <v>40</v>
      </c>
      <c r="I1402" s="12">
        <v>2025</v>
      </c>
      <c r="J1402" s="13" t="s">
        <v>478</v>
      </c>
      <c r="K1402" s="12">
        <v>9785961419047</v>
      </c>
      <c r="L1402" s="13" t="s">
        <v>479</v>
      </c>
      <c r="M1402" s="12">
        <v>438</v>
      </c>
      <c r="N1402" s="14">
        <v>0.68</v>
      </c>
      <c r="O1402" s="12">
        <v>163</v>
      </c>
      <c r="P1402" s="12">
        <v>235</v>
      </c>
      <c r="Q1402" s="12">
        <v>5</v>
      </c>
      <c r="R1402" s="13" t="s">
        <v>94</v>
      </c>
      <c r="S1402" s="13"/>
      <c r="T1402" s="15">
        <v>1000</v>
      </c>
      <c r="U1402" s="13" t="s">
        <v>44</v>
      </c>
      <c r="V1402" s="13" t="s">
        <v>59</v>
      </c>
      <c r="W1402" s="12">
        <v>10</v>
      </c>
      <c r="X1402" s="33" t="str">
        <f>HYPERLINK("https://www.alpinabook.ru/catalog/book-kak-sozdat-krutoy-reklamnyy-tekst","ссылка на книгу")</f>
        <v>ссылка на книгу</v>
      </c>
      <c r="Y1402" s="34" t="str">
        <f>HYPERLINK("https://api-enni.alpina.ru/FilePrivilegesApproval/80","https://api-enni.alpina.ru/FilePrivilegesApproval/80")</f>
        <v>https://api-enni.alpina.ru/FilePrivilegesApproval/80</v>
      </c>
      <c r="Z1402" s="13" t="s">
        <v>405</v>
      </c>
      <c r="AT1402" s="1">
        <f t="shared" si="243"/>
        <v>0</v>
      </c>
      <c r="AU1402" s="1">
        <f t="shared" si="244"/>
        <v>0</v>
      </c>
      <c r="AV1402" s="1">
        <f t="shared" si="245"/>
        <v>0</v>
      </c>
      <c r="AW1402" s="1">
        <f t="shared" si="246"/>
        <v>0</v>
      </c>
      <c r="AX1402" s="1">
        <f t="shared" si="247"/>
        <v>0</v>
      </c>
    </row>
    <row r="1403" spans="1:50" s="1" customFormat="1" ht="24.95" customHeight="1" outlineLevel="3" x14ac:dyDescent="0.2">
      <c r="A1403" s="11"/>
      <c r="B1403" s="12">
        <v>790</v>
      </c>
      <c r="C1403" s="15">
        <v>1190</v>
      </c>
      <c r="D1403" s="12">
        <v>12120</v>
      </c>
      <c r="E1403" s="13" t="s">
        <v>4589</v>
      </c>
      <c r="F1403" s="13" t="s">
        <v>4590</v>
      </c>
      <c r="G1403" s="13" t="s">
        <v>56</v>
      </c>
      <c r="H1403" s="13" t="s">
        <v>40</v>
      </c>
      <c r="I1403" s="12">
        <v>2025</v>
      </c>
      <c r="J1403" s="13" t="s">
        <v>4591</v>
      </c>
      <c r="K1403" s="12">
        <v>9785961424041</v>
      </c>
      <c r="L1403" s="13" t="s">
        <v>4592</v>
      </c>
      <c r="M1403" s="12">
        <v>271</v>
      </c>
      <c r="N1403" s="14">
        <v>0.43</v>
      </c>
      <c r="O1403" s="12">
        <v>163</v>
      </c>
      <c r="P1403" s="12">
        <v>235</v>
      </c>
      <c r="Q1403" s="12">
        <v>10</v>
      </c>
      <c r="R1403" s="13" t="s">
        <v>94</v>
      </c>
      <c r="S1403" s="13"/>
      <c r="T1403" s="15">
        <v>1000</v>
      </c>
      <c r="U1403" s="13" t="s">
        <v>44</v>
      </c>
      <c r="V1403" s="13" t="s">
        <v>59</v>
      </c>
      <c r="W1403" s="12">
        <v>10</v>
      </c>
      <c r="X1403" s="33" t="str">
        <f>HYPERLINK("https://www.alpinabook.ru/catalog/book-klientskiy-opyt","ссылка на книгу")</f>
        <v>ссылка на книгу</v>
      </c>
      <c r="Y1403" s="34" t="str">
        <f>HYPERLINK("https://api-enni.alpina.ru/FilePrivilegesApproval/80","https://api-enni.alpina.ru/FilePrivilegesApproval/80")</f>
        <v>https://api-enni.alpina.ru/FilePrivilegesApproval/80</v>
      </c>
      <c r="Z1403" s="13" t="s">
        <v>77</v>
      </c>
      <c r="AT1403" s="1">
        <f t="shared" si="243"/>
        <v>0</v>
      </c>
      <c r="AU1403" s="1">
        <f t="shared" si="244"/>
        <v>0</v>
      </c>
      <c r="AV1403" s="1">
        <f t="shared" si="245"/>
        <v>0</v>
      </c>
      <c r="AW1403" s="1">
        <f t="shared" si="246"/>
        <v>0</v>
      </c>
      <c r="AX1403" s="1">
        <f t="shared" si="247"/>
        <v>0</v>
      </c>
    </row>
    <row r="1404" spans="1:50" s="1" customFormat="1" ht="24.95" customHeight="1" outlineLevel="3" x14ac:dyDescent="0.2">
      <c r="A1404" s="11"/>
      <c r="B1404" s="12">
        <v>690</v>
      </c>
      <c r="C1404" s="12">
        <v>990</v>
      </c>
      <c r="D1404" s="12">
        <v>27305</v>
      </c>
      <c r="E1404" s="13" t="s">
        <v>4593</v>
      </c>
      <c r="F1404" s="13" t="s">
        <v>4594</v>
      </c>
      <c r="G1404" s="13" t="s">
        <v>97</v>
      </c>
      <c r="H1404" s="13"/>
      <c r="I1404" s="12">
        <v>2023</v>
      </c>
      <c r="J1404" s="13" t="s">
        <v>4595</v>
      </c>
      <c r="K1404" s="12">
        <v>9785206001747</v>
      </c>
      <c r="L1404" s="13" t="s">
        <v>4596</v>
      </c>
      <c r="M1404" s="12">
        <v>94</v>
      </c>
      <c r="N1404" s="14">
        <v>0.25</v>
      </c>
      <c r="O1404" s="12">
        <v>150</v>
      </c>
      <c r="P1404" s="12">
        <v>220</v>
      </c>
      <c r="Q1404" s="12">
        <v>16</v>
      </c>
      <c r="R1404" s="13" t="s">
        <v>43</v>
      </c>
      <c r="S1404" s="13"/>
      <c r="T1404" s="15">
        <v>1000</v>
      </c>
      <c r="U1404" s="13" t="s">
        <v>52</v>
      </c>
      <c r="V1404" s="13" t="s">
        <v>59</v>
      </c>
      <c r="W1404" s="12">
        <v>10</v>
      </c>
      <c r="X1404" s="33" t="str">
        <f>HYPERLINK("https://www.alpinabook.ru/catalog/book-konets-piara","ссылка на книгу")</f>
        <v>ссылка на книгу</v>
      </c>
      <c r="Y1404" s="34" t="str">
        <f>HYPERLINK("https://api-enni.alpina.ru/FilePrivilegesApproval/211","https://api-enni.alpina.ru/FilePrivilegesApproval/211")</f>
        <v>https://api-enni.alpina.ru/FilePrivilegesApproval/211</v>
      </c>
      <c r="Z1404" s="13"/>
      <c r="AT1404" s="1">
        <f t="shared" si="243"/>
        <v>0</v>
      </c>
      <c r="AU1404" s="1">
        <f t="shared" si="244"/>
        <v>0</v>
      </c>
      <c r="AV1404" s="1">
        <f t="shared" si="245"/>
        <v>0</v>
      </c>
      <c r="AW1404" s="1">
        <f t="shared" si="246"/>
        <v>0</v>
      </c>
      <c r="AX1404" s="1">
        <f t="shared" si="247"/>
        <v>0</v>
      </c>
    </row>
    <row r="1405" spans="1:50" s="1" customFormat="1" ht="24.95" customHeight="1" outlineLevel="3" x14ac:dyDescent="0.2">
      <c r="A1405" s="11"/>
      <c r="B1405" s="12">
        <v>750</v>
      </c>
      <c r="C1405" s="12">
        <v>750</v>
      </c>
      <c r="D1405" s="12">
        <v>4447</v>
      </c>
      <c r="E1405" s="13" t="s">
        <v>4597</v>
      </c>
      <c r="F1405" s="13" t="s">
        <v>4598</v>
      </c>
      <c r="G1405" s="13" t="s">
        <v>56</v>
      </c>
      <c r="H1405" s="13" t="s">
        <v>40</v>
      </c>
      <c r="I1405" s="12">
        <v>2021</v>
      </c>
      <c r="J1405" s="13" t="s">
        <v>4599</v>
      </c>
      <c r="K1405" s="12">
        <v>9785961453997</v>
      </c>
      <c r="L1405" s="13" t="s">
        <v>4600</v>
      </c>
      <c r="M1405" s="12">
        <v>260</v>
      </c>
      <c r="N1405" s="14">
        <v>0.59</v>
      </c>
      <c r="O1405" s="12">
        <v>187</v>
      </c>
      <c r="P1405" s="12">
        <v>231</v>
      </c>
      <c r="Q1405" s="12">
        <v>8</v>
      </c>
      <c r="R1405" s="13" t="s">
        <v>167</v>
      </c>
      <c r="S1405" s="13"/>
      <c r="T1405" s="15">
        <v>1500</v>
      </c>
      <c r="U1405" s="13" t="s">
        <v>44</v>
      </c>
      <c r="V1405" s="13" t="s">
        <v>64</v>
      </c>
      <c r="W1405" s="12">
        <v>10</v>
      </c>
      <c r="X1405" s="33" t="str">
        <f>HYPERLINK("https://www.alpinabook.ru/catalog/book-8488","ссылка на книгу")</f>
        <v>ссылка на книгу</v>
      </c>
      <c r="Y1405" s="34" t="str">
        <f>HYPERLINK("https://api-enni.alpina.ru/FilePrivilegesApproval/2","https://api-enni.alpina.ru/FilePrivilegesApproval/2")</f>
        <v>https://api-enni.alpina.ru/FilePrivilegesApproval/2</v>
      </c>
      <c r="Z1405" s="13"/>
      <c r="AT1405" s="1">
        <f t="shared" si="243"/>
        <v>0</v>
      </c>
      <c r="AU1405" s="1">
        <f t="shared" si="244"/>
        <v>0</v>
      </c>
      <c r="AV1405" s="1">
        <f t="shared" si="245"/>
        <v>0</v>
      </c>
      <c r="AW1405" s="1">
        <f t="shared" si="246"/>
        <v>0</v>
      </c>
      <c r="AX1405" s="1">
        <f t="shared" si="247"/>
        <v>0</v>
      </c>
    </row>
    <row r="1406" spans="1:50" s="1" customFormat="1" ht="24.95" customHeight="1" outlineLevel="3" x14ac:dyDescent="0.2">
      <c r="A1406" s="11"/>
      <c r="B1406" s="12">
        <v>690</v>
      </c>
      <c r="C1406" s="12">
        <v>990</v>
      </c>
      <c r="D1406" s="12">
        <v>24529</v>
      </c>
      <c r="E1406" s="13" t="s">
        <v>530</v>
      </c>
      <c r="F1406" s="13" t="s">
        <v>531</v>
      </c>
      <c r="G1406" s="13" t="s">
        <v>56</v>
      </c>
      <c r="H1406" s="13"/>
      <c r="I1406" s="12">
        <v>2025</v>
      </c>
      <c r="J1406" s="13" t="s">
        <v>532</v>
      </c>
      <c r="K1406" s="12">
        <v>9785961477443</v>
      </c>
      <c r="L1406" s="13" t="s">
        <v>533</v>
      </c>
      <c r="M1406" s="12">
        <v>168</v>
      </c>
      <c r="N1406" s="14">
        <v>0.4</v>
      </c>
      <c r="O1406" s="12">
        <v>170</v>
      </c>
      <c r="P1406" s="12">
        <v>250</v>
      </c>
      <c r="Q1406" s="12">
        <v>10</v>
      </c>
      <c r="R1406" s="13" t="s">
        <v>94</v>
      </c>
      <c r="S1406" s="13"/>
      <c r="T1406" s="15">
        <v>1000</v>
      </c>
      <c r="U1406" s="13" t="s">
        <v>52</v>
      </c>
      <c r="V1406" s="13" t="s">
        <v>64</v>
      </c>
      <c r="W1406" s="12">
        <v>10</v>
      </c>
      <c r="X1406" s="33" t="str">
        <f>HYPERLINK("https://www.alpinabook.ru/catalog/book-marketing-dlya-dizaynerov-interera","ссылка на книгу")</f>
        <v>ссылка на книгу</v>
      </c>
      <c r="Y1406" s="34" t="str">
        <f>HYPERLINK("https://api-enni.alpina.ru/FilePrivilegesApproval/152","https://api-enni.alpina.ru/FilePrivilegesApproval/152")</f>
        <v>https://api-enni.alpina.ru/FilePrivilegesApproval/152</v>
      </c>
      <c r="Z1406" s="13" t="s">
        <v>282</v>
      </c>
      <c r="AT1406" s="1">
        <f t="shared" si="243"/>
        <v>0</v>
      </c>
      <c r="AU1406" s="1">
        <f t="shared" si="244"/>
        <v>0</v>
      </c>
      <c r="AV1406" s="1">
        <f t="shared" si="245"/>
        <v>0</v>
      </c>
      <c r="AW1406" s="1">
        <f t="shared" si="246"/>
        <v>0</v>
      </c>
      <c r="AX1406" s="1">
        <f t="shared" si="247"/>
        <v>0</v>
      </c>
    </row>
    <row r="1407" spans="1:50" s="1" customFormat="1" ht="24.95" customHeight="1" outlineLevel="3" x14ac:dyDescent="0.2">
      <c r="A1407" s="11"/>
      <c r="B1407" s="12">
        <v>790</v>
      </c>
      <c r="C1407" s="15">
        <v>1190</v>
      </c>
      <c r="D1407" s="12">
        <v>12799</v>
      </c>
      <c r="E1407" s="13" t="s">
        <v>309</v>
      </c>
      <c r="F1407" s="13" t="s">
        <v>4601</v>
      </c>
      <c r="G1407" s="13" t="s">
        <v>56</v>
      </c>
      <c r="H1407" s="13" t="s">
        <v>40</v>
      </c>
      <c r="I1407" s="12">
        <v>2025</v>
      </c>
      <c r="J1407" s="13" t="s">
        <v>4602</v>
      </c>
      <c r="K1407" s="12">
        <v>9785961427387</v>
      </c>
      <c r="L1407" s="13" t="s">
        <v>4603</v>
      </c>
      <c r="M1407" s="12">
        <v>232</v>
      </c>
      <c r="N1407" s="14">
        <v>0.4</v>
      </c>
      <c r="O1407" s="12">
        <v>146</v>
      </c>
      <c r="P1407" s="12">
        <v>216</v>
      </c>
      <c r="Q1407" s="12">
        <v>16</v>
      </c>
      <c r="R1407" s="13" t="s">
        <v>43</v>
      </c>
      <c r="S1407" s="13"/>
      <c r="T1407" s="15">
        <v>2000</v>
      </c>
      <c r="U1407" s="13" t="s">
        <v>52</v>
      </c>
      <c r="V1407" s="13" t="s">
        <v>59</v>
      </c>
      <c r="W1407" s="12">
        <v>10</v>
      </c>
      <c r="X1407" s="33" t="str">
        <f>HYPERLINK("https://www.alpinabook.ru/catalog/book-metod-storybrand","ссылка на книгу")</f>
        <v>ссылка на книгу</v>
      </c>
      <c r="Y1407" s="34" t="str">
        <f>HYPERLINK("https://api-enni.alpina.ru/FilePrivilegesApproval/140","https://api-enni.alpina.ru/FilePrivilegesApproval/140")</f>
        <v>https://api-enni.alpina.ru/FilePrivilegesApproval/140</v>
      </c>
      <c r="Z1407" s="13" t="s">
        <v>308</v>
      </c>
      <c r="AT1407" s="1">
        <f t="shared" si="243"/>
        <v>0</v>
      </c>
      <c r="AU1407" s="1">
        <f t="shared" si="244"/>
        <v>0</v>
      </c>
      <c r="AV1407" s="1">
        <f t="shared" si="245"/>
        <v>0</v>
      </c>
      <c r="AW1407" s="1">
        <f t="shared" si="246"/>
        <v>0</v>
      </c>
      <c r="AX1407" s="1">
        <f t="shared" si="247"/>
        <v>0</v>
      </c>
    </row>
    <row r="1408" spans="1:50" s="1" customFormat="1" ht="24.95" customHeight="1" outlineLevel="3" x14ac:dyDescent="0.2">
      <c r="A1408" s="11"/>
      <c r="B1408" s="12">
        <v>990</v>
      </c>
      <c r="C1408" s="15">
        <v>1490</v>
      </c>
      <c r="D1408" s="12">
        <v>24041</v>
      </c>
      <c r="E1408" s="13" t="s">
        <v>273</v>
      </c>
      <c r="F1408" s="13" t="s">
        <v>550</v>
      </c>
      <c r="G1408" s="13" t="s">
        <v>56</v>
      </c>
      <c r="H1408" s="13"/>
      <c r="I1408" s="12">
        <v>2025</v>
      </c>
      <c r="J1408" s="13" t="s">
        <v>551</v>
      </c>
      <c r="K1408" s="12">
        <v>9785961442717</v>
      </c>
      <c r="L1408" s="13" t="s">
        <v>552</v>
      </c>
      <c r="M1408" s="12">
        <v>583</v>
      </c>
      <c r="N1408" s="14">
        <v>0.78</v>
      </c>
      <c r="O1408" s="12">
        <v>150</v>
      </c>
      <c r="P1408" s="12">
        <v>220</v>
      </c>
      <c r="Q1408" s="12">
        <v>5</v>
      </c>
      <c r="R1408" s="13" t="s">
        <v>43</v>
      </c>
      <c r="S1408" s="13"/>
      <c r="T1408" s="15">
        <v>1000</v>
      </c>
      <c r="U1408" s="13" t="s">
        <v>52</v>
      </c>
      <c r="V1408" s="13" t="s">
        <v>59</v>
      </c>
      <c r="W1408" s="12">
        <v>10</v>
      </c>
      <c r="X1408" s="33" t="str">
        <f>HYPERLINK("https://www.alpinabook.ru/catalog/book-metod-skolzkoy-gorki","ссылка на книгу")</f>
        <v>ссылка на книгу</v>
      </c>
      <c r="Y1408" s="34" t="str">
        <f>HYPERLINK("https://api-enni.alpina.ru/FilePrivilegesApproval/132","https://api-enni.alpina.ru/FilePrivilegesApproval/132")</f>
        <v>https://api-enni.alpina.ru/FilePrivilegesApproval/132</v>
      </c>
      <c r="Z1408" s="13" t="s">
        <v>405</v>
      </c>
      <c r="AT1408" s="1">
        <f t="shared" si="243"/>
        <v>0</v>
      </c>
      <c r="AU1408" s="1">
        <f t="shared" si="244"/>
        <v>0</v>
      </c>
      <c r="AV1408" s="1">
        <f t="shared" si="245"/>
        <v>0</v>
      </c>
      <c r="AW1408" s="1">
        <f t="shared" si="246"/>
        <v>0</v>
      </c>
      <c r="AX1408" s="1">
        <f t="shared" si="247"/>
        <v>0</v>
      </c>
    </row>
    <row r="1409" spans="1:50" s="1" customFormat="1" ht="24.95" customHeight="1" outlineLevel="3" x14ac:dyDescent="0.2">
      <c r="A1409" s="11"/>
      <c r="B1409" s="12">
        <v>590</v>
      </c>
      <c r="C1409" s="12">
        <v>840</v>
      </c>
      <c r="D1409" s="12">
        <v>11793</v>
      </c>
      <c r="E1409" s="13" t="s">
        <v>4604</v>
      </c>
      <c r="F1409" s="13" t="s">
        <v>4605</v>
      </c>
      <c r="G1409" s="13" t="s">
        <v>56</v>
      </c>
      <c r="H1409" s="13" t="s">
        <v>40</v>
      </c>
      <c r="I1409" s="12">
        <v>2020</v>
      </c>
      <c r="J1409" s="13" t="s">
        <v>4606</v>
      </c>
      <c r="K1409" s="12">
        <v>9785961433678</v>
      </c>
      <c r="L1409" s="13" t="s">
        <v>4607</v>
      </c>
      <c r="M1409" s="12">
        <v>287</v>
      </c>
      <c r="N1409" s="14">
        <v>0.36</v>
      </c>
      <c r="O1409" s="12">
        <v>141</v>
      </c>
      <c r="P1409" s="12">
        <v>210</v>
      </c>
      <c r="Q1409" s="12">
        <v>14</v>
      </c>
      <c r="R1409" s="13" t="s">
        <v>43</v>
      </c>
      <c r="S1409" s="13"/>
      <c r="T1409" s="15">
        <v>1500</v>
      </c>
      <c r="U1409" s="13" t="s">
        <v>44</v>
      </c>
      <c r="V1409" s="13" t="s">
        <v>59</v>
      </c>
      <c r="W1409" s="12">
        <v>10</v>
      </c>
      <c r="X1409" s="33" t="str">
        <f>HYPERLINK("https://www.alpinabook.ru/catalog/book-625069","ссылка на книгу")</f>
        <v>ссылка на книгу</v>
      </c>
      <c r="Y1409" s="34" t="str">
        <f>HYPERLINK("https://api-enni.alpina.ru/FilePrivilegesApproval/68","https://api-enni.alpina.ru/FilePrivilegesApproval/68")</f>
        <v>https://api-enni.alpina.ru/FilePrivilegesApproval/68</v>
      </c>
      <c r="Z1409" s="13"/>
      <c r="AT1409" s="1">
        <f t="shared" si="243"/>
        <v>0</v>
      </c>
      <c r="AU1409" s="1">
        <f t="shared" si="244"/>
        <v>0</v>
      </c>
      <c r="AV1409" s="1">
        <f t="shared" si="245"/>
        <v>0</v>
      </c>
      <c r="AW1409" s="1">
        <f t="shared" si="246"/>
        <v>0</v>
      </c>
      <c r="AX1409" s="1">
        <f t="shared" si="247"/>
        <v>0</v>
      </c>
    </row>
    <row r="1410" spans="1:50" s="1" customFormat="1" ht="24.95" customHeight="1" outlineLevel="3" x14ac:dyDescent="0.2">
      <c r="A1410" s="26"/>
      <c r="B1410" s="27">
        <v>640</v>
      </c>
      <c r="C1410" s="27">
        <v>940</v>
      </c>
      <c r="D1410" s="27">
        <v>23317</v>
      </c>
      <c r="E1410" s="29" t="s">
        <v>4608</v>
      </c>
      <c r="F1410" s="29" t="s">
        <v>4609</v>
      </c>
      <c r="G1410" s="29" t="s">
        <v>97</v>
      </c>
      <c r="H1410" s="29"/>
      <c r="I1410" s="27">
        <v>2022</v>
      </c>
      <c r="J1410" s="29" t="s">
        <v>4610</v>
      </c>
      <c r="K1410" s="27">
        <v>9785907394872</v>
      </c>
      <c r="L1410" s="29" t="s">
        <v>4611</v>
      </c>
      <c r="M1410" s="27">
        <v>182</v>
      </c>
      <c r="N1410" s="30">
        <v>0.42</v>
      </c>
      <c r="O1410" s="27">
        <v>180</v>
      </c>
      <c r="P1410" s="27">
        <v>240</v>
      </c>
      <c r="Q1410" s="27">
        <v>10</v>
      </c>
      <c r="R1410" s="29" t="s">
        <v>94</v>
      </c>
      <c r="S1410" s="29"/>
      <c r="T1410" s="28">
        <v>1000</v>
      </c>
      <c r="U1410" s="29" t="s">
        <v>52</v>
      </c>
      <c r="V1410" s="29" t="s">
        <v>59</v>
      </c>
      <c r="W1410" s="27">
        <v>10</v>
      </c>
      <c r="X1410" s="37" t="str">
        <f>HYPERLINK("https://www.alpinabook.ru/catalog/book-nayden-bolee-bystryy-marshrut","ссылка на книгу")</f>
        <v>ссылка на книгу</v>
      </c>
      <c r="Y1410" s="38" t="str">
        <f>HYPERLINK("https://api-enni.alpina.ru/FilePrivilegesApproval/129","https://api-enni.alpina.ru/FilePrivilegesApproval/129")</f>
        <v>https://api-enni.alpina.ru/FilePrivilegesApproval/129</v>
      </c>
      <c r="Z1410" s="29"/>
      <c r="AT1410" s="1">
        <f t="shared" si="243"/>
        <v>0</v>
      </c>
      <c r="AU1410" s="1">
        <f t="shared" si="244"/>
        <v>0</v>
      </c>
      <c r="AV1410" s="1">
        <f t="shared" si="245"/>
        <v>0</v>
      </c>
      <c r="AW1410" s="1">
        <f t="shared" si="246"/>
        <v>0</v>
      </c>
      <c r="AX1410" s="1">
        <f t="shared" si="247"/>
        <v>0</v>
      </c>
    </row>
    <row r="1411" spans="1:50" s="1" customFormat="1" ht="24.95" customHeight="1" outlineLevel="3" x14ac:dyDescent="0.2">
      <c r="A1411" s="11"/>
      <c r="B1411" s="12">
        <v>890</v>
      </c>
      <c r="C1411" s="15">
        <v>1290</v>
      </c>
      <c r="D1411" s="12">
        <v>28661</v>
      </c>
      <c r="E1411" s="13" t="s">
        <v>4612</v>
      </c>
      <c r="F1411" s="13" t="s">
        <v>4613</v>
      </c>
      <c r="G1411" s="13" t="s">
        <v>97</v>
      </c>
      <c r="H1411" s="13"/>
      <c r="I1411" s="12">
        <v>2024</v>
      </c>
      <c r="J1411" s="13" t="s">
        <v>4614</v>
      </c>
      <c r="K1411" s="12">
        <v>9785206002256</v>
      </c>
      <c r="L1411" s="13" t="s">
        <v>4615</v>
      </c>
      <c r="M1411" s="12">
        <v>152</v>
      </c>
      <c r="N1411" s="14">
        <v>0.37</v>
      </c>
      <c r="O1411" s="12">
        <v>150</v>
      </c>
      <c r="P1411" s="12">
        <v>220</v>
      </c>
      <c r="Q1411" s="12">
        <v>68</v>
      </c>
      <c r="R1411" s="13" t="s">
        <v>43</v>
      </c>
      <c r="S1411" s="13"/>
      <c r="T1411" s="15">
        <v>1000</v>
      </c>
      <c r="U1411" s="13" t="s">
        <v>268</v>
      </c>
      <c r="V1411" s="13" t="s">
        <v>89</v>
      </c>
      <c r="W1411" s="12">
        <v>20</v>
      </c>
      <c r="X1411" s="33" t="str">
        <f>HYPERLINK("https://www.alpinabook.ru/catalog/book-piar-da-vinchi","ссылка на книгу")</f>
        <v>ссылка на книгу</v>
      </c>
      <c r="Y1411" s="34" t="str">
        <f>HYPERLINK("https://api-enni.alpina.ru/FilePrivilegesApproval/357","https://api-enni.alpina.ru/FilePrivilegesApproval/357")</f>
        <v>https://api-enni.alpina.ru/FilePrivilegesApproval/357</v>
      </c>
      <c r="Z1411" s="13"/>
      <c r="AT1411" s="1">
        <f t="shared" si="243"/>
        <v>0</v>
      </c>
      <c r="AU1411" s="1">
        <f t="shared" si="244"/>
        <v>0</v>
      </c>
      <c r="AV1411" s="1">
        <f t="shared" si="245"/>
        <v>0</v>
      </c>
      <c r="AW1411" s="1">
        <f t="shared" si="246"/>
        <v>0</v>
      </c>
      <c r="AX1411" s="1">
        <f t="shared" si="247"/>
        <v>0</v>
      </c>
    </row>
    <row r="1412" spans="1:50" s="1" customFormat="1" ht="24.95" customHeight="1" outlineLevel="3" x14ac:dyDescent="0.2">
      <c r="A1412" s="11"/>
      <c r="B1412" s="12">
        <v>610</v>
      </c>
      <c r="C1412" s="12">
        <v>890</v>
      </c>
      <c r="D1412" s="12">
        <v>7237</v>
      </c>
      <c r="E1412" s="13" t="s">
        <v>4616</v>
      </c>
      <c r="F1412" s="13" t="s">
        <v>4617</v>
      </c>
      <c r="G1412" s="13" t="s">
        <v>86</v>
      </c>
      <c r="H1412" s="13" t="s">
        <v>40</v>
      </c>
      <c r="I1412" s="12">
        <v>2018</v>
      </c>
      <c r="J1412" s="13" t="s">
        <v>4618</v>
      </c>
      <c r="K1412" s="12">
        <v>9785916718164</v>
      </c>
      <c r="L1412" s="13" t="s">
        <v>4619</v>
      </c>
      <c r="M1412" s="12">
        <v>488</v>
      </c>
      <c r="N1412" s="14">
        <v>0.68</v>
      </c>
      <c r="O1412" s="12">
        <v>146</v>
      </c>
      <c r="P1412" s="12">
        <v>216</v>
      </c>
      <c r="Q1412" s="12">
        <v>8</v>
      </c>
      <c r="R1412" s="13" t="s">
        <v>43</v>
      </c>
      <c r="S1412" s="13"/>
      <c r="T1412" s="15">
        <v>2000</v>
      </c>
      <c r="U1412" s="13" t="s">
        <v>52</v>
      </c>
      <c r="V1412" s="13" t="s">
        <v>64</v>
      </c>
      <c r="W1412" s="12">
        <v>10</v>
      </c>
      <c r="X1412" s="33" t="str">
        <f>HYPERLINK("https://www.alpinabook.ru/catalog/book-428690","ссылка на книгу")</f>
        <v>ссылка на книгу</v>
      </c>
      <c r="Y1412" s="34" t="str">
        <f>HYPERLINK("https://api-enni.alpina.ru/FilePrivilegesApproval/5","https://api-enni.alpina.ru/FilePrivilegesApproval/5")</f>
        <v>https://api-enni.alpina.ru/FilePrivilegesApproval/5</v>
      </c>
      <c r="Z1412" s="13"/>
      <c r="AT1412" s="1">
        <f t="shared" si="243"/>
        <v>0</v>
      </c>
      <c r="AU1412" s="1">
        <f t="shared" si="244"/>
        <v>0</v>
      </c>
      <c r="AV1412" s="1">
        <f t="shared" si="245"/>
        <v>0</v>
      </c>
      <c r="AW1412" s="1">
        <f t="shared" si="246"/>
        <v>0</v>
      </c>
      <c r="AX1412" s="1">
        <f t="shared" si="247"/>
        <v>0</v>
      </c>
    </row>
    <row r="1413" spans="1:50" s="1" customFormat="1" ht="24.95" customHeight="1" outlineLevel="3" x14ac:dyDescent="0.2">
      <c r="A1413" s="11"/>
      <c r="B1413" s="12">
        <v>540</v>
      </c>
      <c r="C1413" s="12">
        <v>790</v>
      </c>
      <c r="D1413" s="12">
        <v>837</v>
      </c>
      <c r="E1413" s="13" t="s">
        <v>4620</v>
      </c>
      <c r="F1413" s="13" t="s">
        <v>4621</v>
      </c>
      <c r="G1413" s="13" t="s">
        <v>56</v>
      </c>
      <c r="H1413" s="13" t="s">
        <v>40</v>
      </c>
      <c r="I1413" s="12">
        <v>2025</v>
      </c>
      <c r="J1413" s="13" t="s">
        <v>4622</v>
      </c>
      <c r="K1413" s="12">
        <v>9785961468113</v>
      </c>
      <c r="L1413" s="13" t="s">
        <v>4623</v>
      </c>
      <c r="M1413" s="12">
        <v>224</v>
      </c>
      <c r="N1413" s="14">
        <v>0.35</v>
      </c>
      <c r="O1413" s="12">
        <v>146</v>
      </c>
      <c r="P1413" s="12">
        <v>216</v>
      </c>
      <c r="Q1413" s="12">
        <v>18</v>
      </c>
      <c r="R1413" s="13" t="s">
        <v>43</v>
      </c>
      <c r="S1413" s="13"/>
      <c r="T1413" s="15">
        <v>2000</v>
      </c>
      <c r="U1413" s="13" t="s">
        <v>52</v>
      </c>
      <c r="V1413" s="13" t="s">
        <v>64</v>
      </c>
      <c r="W1413" s="12">
        <v>10</v>
      </c>
      <c r="X1413" s="33" t="str">
        <f>HYPERLINK("https://www.alpinabook.ru/catalog/book-prodavaya-nezrimoe","ссылка на книгу")</f>
        <v>ссылка на книгу</v>
      </c>
      <c r="Y1413" s="34" t="str">
        <f>HYPERLINK("https://api-enni.alpina.ru/FilePrivilegesApproval/2","https://api-enni.alpina.ru/FilePrivilegesApproval/2")</f>
        <v>https://api-enni.alpina.ru/FilePrivilegesApproval/2</v>
      </c>
      <c r="Z1413" s="13" t="s">
        <v>865</v>
      </c>
      <c r="AT1413" s="1">
        <f t="shared" si="243"/>
        <v>0</v>
      </c>
      <c r="AU1413" s="1">
        <f t="shared" si="244"/>
        <v>0</v>
      </c>
      <c r="AV1413" s="1">
        <f t="shared" si="245"/>
        <v>0</v>
      </c>
      <c r="AW1413" s="1">
        <f t="shared" si="246"/>
        <v>0</v>
      </c>
      <c r="AX1413" s="1">
        <f t="shared" si="247"/>
        <v>0</v>
      </c>
    </row>
    <row r="1414" spans="1:50" s="1" customFormat="1" ht="24.95" customHeight="1" outlineLevel="3" x14ac:dyDescent="0.2">
      <c r="A1414" s="26"/>
      <c r="B1414" s="27">
        <v>590</v>
      </c>
      <c r="C1414" s="27">
        <v>840</v>
      </c>
      <c r="D1414" s="27">
        <v>12013</v>
      </c>
      <c r="E1414" s="29" t="s">
        <v>4624</v>
      </c>
      <c r="F1414" s="29" t="s">
        <v>4625</v>
      </c>
      <c r="G1414" s="29" t="s">
        <v>56</v>
      </c>
      <c r="H1414" s="29" t="s">
        <v>40</v>
      </c>
      <c r="I1414" s="27">
        <v>2020</v>
      </c>
      <c r="J1414" s="29" t="s">
        <v>4626</v>
      </c>
      <c r="K1414" s="27">
        <v>9785961430042</v>
      </c>
      <c r="L1414" s="29" t="s">
        <v>4627</v>
      </c>
      <c r="M1414" s="27">
        <v>256</v>
      </c>
      <c r="N1414" s="30">
        <v>0.4</v>
      </c>
      <c r="O1414" s="27">
        <v>146</v>
      </c>
      <c r="P1414" s="27">
        <v>216</v>
      </c>
      <c r="Q1414" s="27">
        <v>14</v>
      </c>
      <c r="R1414" s="29" t="s">
        <v>43</v>
      </c>
      <c r="S1414" s="29"/>
      <c r="T1414" s="28">
        <v>3000</v>
      </c>
      <c r="U1414" s="29" t="s">
        <v>52</v>
      </c>
      <c r="V1414" s="29" t="s">
        <v>45</v>
      </c>
      <c r="W1414" s="27">
        <v>10</v>
      </c>
      <c r="X1414" s="37" t="str">
        <f>HYPERLINK("https://www.alpinabook.ru/catalog/book-587633","ссылка на книгу")</f>
        <v>ссылка на книгу</v>
      </c>
      <c r="Y1414" s="38" t="str">
        <f>HYPERLINK("https://api-enni.alpina.ru/FilePrivilegesApproval/33","https://api-enni.alpina.ru/FilePrivilegesApproval/33")</f>
        <v>https://api-enni.alpina.ru/FilePrivilegesApproval/33</v>
      </c>
      <c r="Z1414" s="29"/>
      <c r="AT1414" s="1">
        <f t="shared" si="243"/>
        <v>0</v>
      </c>
      <c r="AU1414" s="1">
        <f t="shared" si="244"/>
        <v>0</v>
      </c>
      <c r="AV1414" s="1">
        <f t="shared" si="245"/>
        <v>0</v>
      </c>
      <c r="AW1414" s="1">
        <f t="shared" si="246"/>
        <v>0</v>
      </c>
      <c r="AX1414" s="1">
        <f t="shared" si="247"/>
        <v>0</v>
      </c>
    </row>
    <row r="1415" spans="1:50" s="1" customFormat="1" ht="24.95" customHeight="1" outlineLevel="3" x14ac:dyDescent="0.2">
      <c r="A1415" s="11"/>
      <c r="B1415" s="12">
        <v>490</v>
      </c>
      <c r="C1415" s="12">
        <v>740</v>
      </c>
      <c r="D1415" s="12">
        <v>29084</v>
      </c>
      <c r="E1415" s="13" t="s">
        <v>4628</v>
      </c>
      <c r="F1415" s="13" t="s">
        <v>4629</v>
      </c>
      <c r="G1415" s="13" t="s">
        <v>56</v>
      </c>
      <c r="H1415" s="13"/>
      <c r="I1415" s="12">
        <v>2024</v>
      </c>
      <c r="J1415" s="13" t="s">
        <v>4630</v>
      </c>
      <c r="K1415" s="12">
        <v>9785961491371</v>
      </c>
      <c r="L1415" s="13" t="s">
        <v>4631</v>
      </c>
      <c r="M1415" s="12">
        <v>304</v>
      </c>
      <c r="N1415" s="14">
        <v>0.31</v>
      </c>
      <c r="O1415" s="12">
        <v>130</v>
      </c>
      <c r="P1415" s="12">
        <v>200</v>
      </c>
      <c r="Q1415" s="12">
        <v>16</v>
      </c>
      <c r="R1415" s="13" t="s">
        <v>82</v>
      </c>
      <c r="S1415" s="13"/>
      <c r="T1415" s="15">
        <v>2000</v>
      </c>
      <c r="U1415" s="13" t="s">
        <v>44</v>
      </c>
      <c r="V1415" s="13" t="s">
        <v>59</v>
      </c>
      <c r="W1415" s="12">
        <v>10</v>
      </c>
      <c r="X1415" s="33" t="str">
        <f>HYPERLINK("https://www.alpinabook.ru/catalog/book-reklama-bez-byudzheta","ссылка на книгу")</f>
        <v>ссылка на книгу</v>
      </c>
      <c r="Y1415" s="34" t="str">
        <f>HYPERLINK("https://api-enni.alpina.ru/FilePrivilegesApproval/321","https://api-enni.alpina.ru/FilePrivilegesApproval/321")</f>
        <v>https://api-enni.alpina.ru/FilePrivilegesApproval/321</v>
      </c>
      <c r="Z1415" s="13"/>
      <c r="AT1415" s="1">
        <f t="shared" si="243"/>
        <v>0</v>
      </c>
      <c r="AU1415" s="1">
        <f t="shared" si="244"/>
        <v>0</v>
      </c>
      <c r="AV1415" s="1">
        <f t="shared" si="245"/>
        <v>0</v>
      </c>
      <c r="AW1415" s="1">
        <f t="shared" si="246"/>
        <v>0</v>
      </c>
      <c r="AX1415" s="1">
        <f t="shared" si="247"/>
        <v>0</v>
      </c>
    </row>
    <row r="1416" spans="1:50" s="1" customFormat="1" ht="24.95" customHeight="1" outlineLevel="3" x14ac:dyDescent="0.2">
      <c r="A1416" s="26"/>
      <c r="B1416" s="28">
        <v>1490</v>
      </c>
      <c r="C1416" s="28">
        <v>1890</v>
      </c>
      <c r="D1416" s="27">
        <v>7657</v>
      </c>
      <c r="E1416" s="29" t="s">
        <v>4632</v>
      </c>
      <c r="F1416" s="29" t="s">
        <v>4633</v>
      </c>
      <c r="G1416" s="29" t="s">
        <v>97</v>
      </c>
      <c r="H1416" s="29" t="s">
        <v>40</v>
      </c>
      <c r="I1416" s="27">
        <v>2024</v>
      </c>
      <c r="J1416" s="29" t="s">
        <v>4634</v>
      </c>
      <c r="K1416" s="27">
        <v>9785961470796</v>
      </c>
      <c r="L1416" s="29" t="s">
        <v>4635</v>
      </c>
      <c r="M1416" s="27">
        <v>506</v>
      </c>
      <c r="N1416" s="30">
        <v>0.91</v>
      </c>
      <c r="O1416" s="27">
        <v>171</v>
      </c>
      <c r="P1416" s="27">
        <v>241</v>
      </c>
      <c r="Q1416" s="27">
        <v>4</v>
      </c>
      <c r="R1416" s="29" t="s">
        <v>94</v>
      </c>
      <c r="S1416" s="29"/>
      <c r="T1416" s="28">
        <v>1000</v>
      </c>
      <c r="U1416" s="29" t="s">
        <v>52</v>
      </c>
      <c r="V1416" s="29" t="s">
        <v>64</v>
      </c>
      <c r="W1416" s="27">
        <v>10</v>
      </c>
      <c r="X1416" s="37" t="str">
        <f>HYPERLINK("https://www.alpinabook.ru/catalog/book-riteyl-marketing","ссылка на книгу")</f>
        <v>ссылка на книгу</v>
      </c>
      <c r="Y1416" s="38" t="str">
        <f>HYPERLINK("https://api-enni.alpina.ru/FilePrivilegesApproval/2","https://api-enni.alpina.ru/FilePrivilegesApproval/2")</f>
        <v>https://api-enni.alpina.ru/FilePrivilegesApproval/2</v>
      </c>
      <c r="Z1416" s="29"/>
      <c r="AT1416" s="1">
        <f t="shared" si="243"/>
        <v>0</v>
      </c>
      <c r="AU1416" s="1">
        <f t="shared" si="244"/>
        <v>0</v>
      </c>
      <c r="AV1416" s="1">
        <f t="shared" si="245"/>
        <v>0</v>
      </c>
      <c r="AW1416" s="1">
        <f t="shared" si="246"/>
        <v>0</v>
      </c>
      <c r="AX1416" s="1">
        <f t="shared" si="247"/>
        <v>0</v>
      </c>
    </row>
    <row r="1417" spans="1:50" s="1" customFormat="1" ht="24.95" customHeight="1" outlineLevel="3" x14ac:dyDescent="0.2">
      <c r="A1417" s="11"/>
      <c r="B1417" s="12">
        <v>890</v>
      </c>
      <c r="C1417" s="15">
        <v>1290</v>
      </c>
      <c r="D1417" s="12">
        <v>24762</v>
      </c>
      <c r="E1417" s="13" t="s">
        <v>733</v>
      </c>
      <c r="F1417" s="13" t="s">
        <v>734</v>
      </c>
      <c r="G1417" s="13" t="s">
        <v>56</v>
      </c>
      <c r="H1417" s="13" t="s">
        <v>40</v>
      </c>
      <c r="I1417" s="12">
        <v>2025</v>
      </c>
      <c r="J1417" s="13" t="s">
        <v>735</v>
      </c>
      <c r="K1417" s="12">
        <v>9785961476064</v>
      </c>
      <c r="L1417" s="13" t="s">
        <v>736</v>
      </c>
      <c r="M1417" s="12">
        <v>336</v>
      </c>
      <c r="N1417" s="14">
        <v>0.51</v>
      </c>
      <c r="O1417" s="12">
        <v>150</v>
      </c>
      <c r="P1417" s="12">
        <v>220</v>
      </c>
      <c r="Q1417" s="12">
        <v>5</v>
      </c>
      <c r="R1417" s="13" t="s">
        <v>43</v>
      </c>
      <c r="S1417" s="13"/>
      <c r="T1417" s="15">
        <v>1000</v>
      </c>
      <c r="U1417" s="13" t="s">
        <v>52</v>
      </c>
      <c r="V1417" s="13" t="s">
        <v>59</v>
      </c>
      <c r="W1417" s="12">
        <v>10</v>
      </c>
      <c r="X1417" s="33" t="str">
        <f>HYPERLINK("https://www.alpinabook.ru/catalog/book-sozdavaya-emotsii","ссылка на книгу")</f>
        <v>ссылка на книгу</v>
      </c>
      <c r="Y1417" s="34" t="str">
        <f>HYPERLINK("https://api-enni.alpina.ru/FilePrivilegesApproval/205","https://api-enni.alpina.ru/FilePrivilegesApproval/205")</f>
        <v>https://api-enni.alpina.ru/FilePrivilegesApproval/205</v>
      </c>
      <c r="Z1417" s="13" t="s">
        <v>77</v>
      </c>
      <c r="AT1417" s="1">
        <f t="shared" si="243"/>
        <v>0</v>
      </c>
      <c r="AU1417" s="1">
        <f t="shared" si="244"/>
        <v>0</v>
      </c>
      <c r="AV1417" s="1">
        <f t="shared" si="245"/>
        <v>0</v>
      </c>
      <c r="AW1417" s="1">
        <f t="shared" si="246"/>
        <v>0</v>
      </c>
      <c r="AX1417" s="1">
        <f t="shared" si="247"/>
        <v>0</v>
      </c>
    </row>
    <row r="1418" spans="1:50" s="1" customFormat="1" ht="24.95" customHeight="1" outlineLevel="3" x14ac:dyDescent="0.2">
      <c r="A1418" s="11"/>
      <c r="B1418" s="12">
        <v>640</v>
      </c>
      <c r="C1418" s="12">
        <v>940</v>
      </c>
      <c r="D1418" s="12">
        <v>28780</v>
      </c>
      <c r="E1418" s="13" t="s">
        <v>4636</v>
      </c>
      <c r="F1418" s="13" t="s">
        <v>4637</v>
      </c>
      <c r="G1418" s="13" t="s">
        <v>97</v>
      </c>
      <c r="H1418" s="13"/>
      <c r="I1418" s="12">
        <v>2024</v>
      </c>
      <c r="J1418" s="13" t="s">
        <v>4638</v>
      </c>
      <c r="K1418" s="12">
        <v>9785206002362</v>
      </c>
      <c r="L1418" s="13" t="s">
        <v>4639</v>
      </c>
      <c r="M1418" s="12">
        <v>216</v>
      </c>
      <c r="N1418" s="14">
        <v>0.36</v>
      </c>
      <c r="O1418" s="12">
        <v>150</v>
      </c>
      <c r="P1418" s="12">
        <v>220</v>
      </c>
      <c r="Q1418" s="12">
        <v>8</v>
      </c>
      <c r="R1418" s="13" t="s">
        <v>43</v>
      </c>
      <c r="S1418" s="13"/>
      <c r="T1418" s="15">
        <v>1005</v>
      </c>
      <c r="U1418" s="13" t="s">
        <v>52</v>
      </c>
      <c r="V1418" s="13" t="s">
        <v>59</v>
      </c>
      <c r="W1418" s="12">
        <v>10</v>
      </c>
      <c r="X1418" s="33" t="str">
        <f>HYPERLINK("https://www.alpinabook.ru/catalog/book-telemarketing-vtoroe-dykhanie","ссылка на книгу")</f>
        <v>ссылка на книгу</v>
      </c>
      <c r="Y1418" s="34" t="str">
        <f>HYPERLINK("https://api-enni.alpina.ru/FilePrivilegesApproval/372","https://api-enni.alpina.ru/FilePrivilegesApproval/372")</f>
        <v>https://api-enni.alpina.ru/FilePrivilegesApproval/372</v>
      </c>
      <c r="Z1418" s="13"/>
      <c r="AT1418" s="1">
        <f t="shared" si="243"/>
        <v>0</v>
      </c>
      <c r="AU1418" s="1">
        <f t="shared" si="244"/>
        <v>0</v>
      </c>
      <c r="AV1418" s="1">
        <f t="shared" si="245"/>
        <v>0</v>
      </c>
      <c r="AW1418" s="1">
        <f t="shared" si="246"/>
        <v>0</v>
      </c>
      <c r="AX1418" s="1">
        <f t="shared" si="247"/>
        <v>0</v>
      </c>
    </row>
    <row r="1419" spans="1:50" s="1" customFormat="1" ht="24.95" customHeight="1" outlineLevel="3" x14ac:dyDescent="0.2">
      <c r="A1419" s="26"/>
      <c r="B1419" s="27">
        <v>690</v>
      </c>
      <c r="C1419" s="27">
        <v>990</v>
      </c>
      <c r="D1419" s="27">
        <v>12492</v>
      </c>
      <c r="E1419" s="29" t="s">
        <v>4640</v>
      </c>
      <c r="F1419" s="29" t="s">
        <v>4641</v>
      </c>
      <c r="G1419" s="29" t="s">
        <v>56</v>
      </c>
      <c r="H1419" s="29" t="s">
        <v>40</v>
      </c>
      <c r="I1419" s="27">
        <v>2020</v>
      </c>
      <c r="J1419" s="29" t="s">
        <v>4642</v>
      </c>
      <c r="K1419" s="27">
        <v>9785961425789</v>
      </c>
      <c r="L1419" s="29" t="s">
        <v>4643</v>
      </c>
      <c r="M1419" s="27">
        <v>234</v>
      </c>
      <c r="N1419" s="30">
        <v>0.4</v>
      </c>
      <c r="O1419" s="27">
        <v>146</v>
      </c>
      <c r="P1419" s="27">
        <v>216</v>
      </c>
      <c r="Q1419" s="27">
        <v>16</v>
      </c>
      <c r="R1419" s="29" t="s">
        <v>43</v>
      </c>
      <c r="S1419" s="29"/>
      <c r="T1419" s="28">
        <v>1500</v>
      </c>
      <c r="U1419" s="29" t="s">
        <v>52</v>
      </c>
      <c r="V1419" s="29" t="s">
        <v>59</v>
      </c>
      <c r="W1419" s="27">
        <v>10</v>
      </c>
      <c r="X1419" s="37" t="str">
        <f>HYPERLINK("https://www.alpinabook.ru/catalog/book-640374","ссылка на книгу")</f>
        <v>ссылка на книгу</v>
      </c>
      <c r="Y1419" s="38" t="str">
        <f>HYPERLINK("https://api-enni.alpina.ru/FilePrivilegesApproval/68","https://api-enni.alpina.ru/FilePrivilegesApproval/68")</f>
        <v>https://api-enni.alpina.ru/FilePrivilegesApproval/68</v>
      </c>
      <c r="Z1419" s="29"/>
      <c r="AT1419" s="1">
        <f t="shared" si="243"/>
        <v>0</v>
      </c>
      <c r="AU1419" s="1">
        <f t="shared" si="244"/>
        <v>0</v>
      </c>
      <c r="AV1419" s="1">
        <f t="shared" si="245"/>
        <v>0</v>
      </c>
      <c r="AW1419" s="1">
        <f t="shared" si="246"/>
        <v>0</v>
      </c>
      <c r="AX1419" s="1">
        <f t="shared" si="247"/>
        <v>0</v>
      </c>
    </row>
    <row r="1420" spans="1:50" s="1" customFormat="1" ht="24.95" customHeight="1" outlineLevel="3" x14ac:dyDescent="0.2">
      <c r="A1420" s="11"/>
      <c r="B1420" s="12">
        <v>690</v>
      </c>
      <c r="C1420" s="12">
        <v>690</v>
      </c>
      <c r="D1420" s="12">
        <v>25752</v>
      </c>
      <c r="E1420" s="13" t="s">
        <v>4644</v>
      </c>
      <c r="F1420" s="13" t="s">
        <v>4645</v>
      </c>
      <c r="G1420" s="13" t="s">
        <v>97</v>
      </c>
      <c r="H1420" s="13"/>
      <c r="I1420" s="12">
        <v>2022</v>
      </c>
      <c r="J1420" s="13" t="s">
        <v>4646</v>
      </c>
      <c r="K1420" s="12">
        <v>9785206000122</v>
      </c>
      <c r="L1420" s="13" t="s">
        <v>4647</v>
      </c>
      <c r="M1420" s="12">
        <v>272</v>
      </c>
      <c r="N1420" s="14">
        <v>0.51</v>
      </c>
      <c r="O1420" s="12">
        <v>146</v>
      </c>
      <c r="P1420" s="12">
        <v>216</v>
      </c>
      <c r="Q1420" s="12">
        <v>10</v>
      </c>
      <c r="R1420" s="13" t="s">
        <v>43</v>
      </c>
      <c r="S1420" s="13"/>
      <c r="T1420" s="15">
        <v>2000</v>
      </c>
      <c r="U1420" s="13" t="s">
        <v>52</v>
      </c>
      <c r="V1420" s="13" t="s">
        <v>45</v>
      </c>
      <c r="W1420" s="12">
        <v>10</v>
      </c>
      <c r="X1420" s="33" t="str">
        <f>HYPERLINK("https://www.alpinabook.ru/catalog/book-formula-onlayn-reputatsii","ссылка на книгу")</f>
        <v>ссылка на книгу</v>
      </c>
      <c r="Y1420" s="34" t="str">
        <f>HYPERLINK("https://api-enni.alpina.ru/FilePrivilegesApproval/155","https://api-enni.alpina.ru/FilePrivilegesApproval/155")</f>
        <v>https://api-enni.alpina.ru/FilePrivilegesApproval/155</v>
      </c>
      <c r="Z1420" s="13"/>
      <c r="AT1420" s="1">
        <f t="shared" si="243"/>
        <v>0</v>
      </c>
      <c r="AU1420" s="1">
        <f t="shared" si="244"/>
        <v>0</v>
      </c>
      <c r="AV1420" s="1">
        <f t="shared" si="245"/>
        <v>0</v>
      </c>
      <c r="AW1420" s="1">
        <f t="shared" si="246"/>
        <v>0</v>
      </c>
      <c r="AX1420" s="1">
        <f t="shared" si="247"/>
        <v>0</v>
      </c>
    </row>
    <row r="1421" spans="1:50" s="1" customFormat="1" ht="24.95" customHeight="1" outlineLevel="3" x14ac:dyDescent="0.2">
      <c r="A1421" s="11"/>
      <c r="B1421" s="12">
        <v>790</v>
      </c>
      <c r="C1421" s="15">
        <v>1190</v>
      </c>
      <c r="D1421" s="12">
        <v>23830</v>
      </c>
      <c r="E1421" s="13" t="s">
        <v>4648</v>
      </c>
      <c r="F1421" s="13" t="s">
        <v>4649</v>
      </c>
      <c r="G1421" s="13" t="s">
        <v>97</v>
      </c>
      <c r="H1421" s="13"/>
      <c r="I1421" s="12">
        <v>2025</v>
      </c>
      <c r="J1421" s="13" t="s">
        <v>4650</v>
      </c>
      <c r="K1421" s="12">
        <v>9785907470279</v>
      </c>
      <c r="L1421" s="13" t="s">
        <v>4651</v>
      </c>
      <c r="M1421" s="12">
        <v>96</v>
      </c>
      <c r="N1421" s="14">
        <v>0.19</v>
      </c>
      <c r="O1421" s="12">
        <v>140</v>
      </c>
      <c r="P1421" s="12">
        <v>210</v>
      </c>
      <c r="Q1421" s="12">
        <v>8</v>
      </c>
      <c r="R1421" s="13" t="s">
        <v>82</v>
      </c>
      <c r="S1421" s="13"/>
      <c r="T1421" s="15">
        <v>1000</v>
      </c>
      <c r="U1421" s="13" t="s">
        <v>52</v>
      </c>
      <c r="V1421" s="13" t="s">
        <v>59</v>
      </c>
      <c r="W1421" s="12">
        <v>10</v>
      </c>
      <c r="X1421" s="33" t="str">
        <f>HYPERLINK("https://www.alpinabook.ru/catalog/book-chetyre-vsadnika-apokalipsisa","ссылка на книгу")</f>
        <v>ссылка на книгу</v>
      </c>
      <c r="Y1421" s="34" t="str">
        <f>HYPERLINK("https://api-enni.alpina.ru/FilePrivilegesApproval/120","https://api-enni.alpina.ru/FilePrivilegesApproval/120")</f>
        <v>https://api-enni.alpina.ru/FilePrivilegesApproval/120</v>
      </c>
      <c r="Z1421" s="13" t="s">
        <v>954</v>
      </c>
      <c r="AT1421" s="1">
        <f t="shared" si="243"/>
        <v>0</v>
      </c>
      <c r="AU1421" s="1">
        <f t="shared" si="244"/>
        <v>0</v>
      </c>
      <c r="AV1421" s="1">
        <f t="shared" si="245"/>
        <v>0</v>
      </c>
      <c r="AW1421" s="1">
        <f t="shared" si="246"/>
        <v>0</v>
      </c>
      <c r="AX1421" s="1">
        <f t="shared" si="247"/>
        <v>0</v>
      </c>
    </row>
    <row r="1422" spans="1:50" s="1" customFormat="1" ht="24.95" customHeight="1" outlineLevel="3" x14ac:dyDescent="0.2">
      <c r="A1422" s="11"/>
      <c r="B1422" s="12">
        <v>790</v>
      </c>
      <c r="C1422" s="15">
        <v>1190</v>
      </c>
      <c r="D1422" s="12">
        <v>17608</v>
      </c>
      <c r="E1422" s="13" t="s">
        <v>4652</v>
      </c>
      <c r="F1422" s="13" t="s">
        <v>4653</v>
      </c>
      <c r="G1422" s="13" t="s">
        <v>97</v>
      </c>
      <c r="H1422" s="13" t="s">
        <v>40</v>
      </c>
      <c r="I1422" s="12">
        <v>2024</v>
      </c>
      <c r="J1422" s="13" t="s">
        <v>4654</v>
      </c>
      <c r="K1422" s="12">
        <v>9785604287972</v>
      </c>
      <c r="L1422" s="13" t="s">
        <v>4655</v>
      </c>
      <c r="M1422" s="12">
        <v>400</v>
      </c>
      <c r="N1422" s="14">
        <v>0.57999999999999996</v>
      </c>
      <c r="O1422" s="12">
        <v>153</v>
      </c>
      <c r="P1422" s="12">
        <v>216</v>
      </c>
      <c r="Q1422" s="12">
        <v>8</v>
      </c>
      <c r="R1422" s="13" t="s">
        <v>43</v>
      </c>
      <c r="S1422" s="13"/>
      <c r="T1422" s="15">
        <v>2000</v>
      </c>
      <c r="U1422" s="13" t="s">
        <v>52</v>
      </c>
      <c r="V1422" s="13" t="s">
        <v>64</v>
      </c>
      <c r="W1422" s="12">
        <v>10</v>
      </c>
      <c r="X1422" s="33" t="str">
        <f>HYPERLINK("https://www.alpinabook.ru/catalog/book-ekonomika-vpechatleniy","ссылка на книгу")</f>
        <v>ссылка на книгу</v>
      </c>
      <c r="Y1422" s="34" t="str">
        <f>HYPERLINK("https://api-enni.alpina.ru/FilePrivilegesApproval/142","https://api-enni.alpina.ru/FilePrivilegesApproval/142")</f>
        <v>https://api-enni.alpina.ru/FilePrivilegesApproval/142</v>
      </c>
      <c r="Z1422" s="13"/>
      <c r="AT1422" s="1">
        <f t="shared" si="243"/>
        <v>0</v>
      </c>
      <c r="AU1422" s="1">
        <f t="shared" si="244"/>
        <v>0</v>
      </c>
      <c r="AV1422" s="1">
        <f t="shared" si="245"/>
        <v>0</v>
      </c>
      <c r="AW1422" s="1">
        <f t="shared" si="246"/>
        <v>0</v>
      </c>
      <c r="AX1422" s="1">
        <f t="shared" si="247"/>
        <v>0</v>
      </c>
    </row>
    <row r="1423" spans="1:50" ht="11.1" customHeight="1" outlineLevel="2" x14ac:dyDescent="0.2">
      <c r="A1423" s="40" t="s">
        <v>4656</v>
      </c>
      <c r="B1423" s="40"/>
      <c r="C1423" s="40"/>
      <c r="D1423" s="40"/>
      <c r="E1423" s="40"/>
      <c r="F1423" s="40"/>
      <c r="G1423" s="40"/>
      <c r="H1423" s="40"/>
      <c r="I1423" s="40"/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20"/>
    </row>
    <row r="1424" spans="1:50" s="1" customFormat="1" ht="24.95" customHeight="1" outlineLevel="3" x14ac:dyDescent="0.2">
      <c r="A1424" s="26"/>
      <c r="B1424" s="28">
        <v>1490</v>
      </c>
      <c r="C1424" s="28">
        <v>1890</v>
      </c>
      <c r="D1424" s="27">
        <v>27568</v>
      </c>
      <c r="E1424" s="29" t="s">
        <v>4657</v>
      </c>
      <c r="F1424" s="29" t="s">
        <v>4658</v>
      </c>
      <c r="G1424" s="29" t="s">
        <v>97</v>
      </c>
      <c r="H1424" s="29"/>
      <c r="I1424" s="27">
        <v>2024</v>
      </c>
      <c r="J1424" s="29" t="s">
        <v>4659</v>
      </c>
      <c r="K1424" s="27">
        <v>9785206001617</v>
      </c>
      <c r="L1424" s="29" t="s">
        <v>4660</v>
      </c>
      <c r="M1424" s="27">
        <v>296</v>
      </c>
      <c r="N1424" s="30">
        <v>1.1000000000000001</v>
      </c>
      <c r="O1424" s="27">
        <v>210</v>
      </c>
      <c r="P1424" s="27">
        <v>290</v>
      </c>
      <c r="Q1424" s="27">
        <v>20</v>
      </c>
      <c r="R1424" s="29" t="s">
        <v>167</v>
      </c>
      <c r="S1424" s="29"/>
      <c r="T1424" s="28">
        <v>1500</v>
      </c>
      <c r="U1424" s="29" t="s">
        <v>44</v>
      </c>
      <c r="V1424" s="29" t="s">
        <v>59</v>
      </c>
      <c r="W1424" s="27">
        <v>20</v>
      </c>
      <c r="X1424" s="37" t="str">
        <f>HYPERLINK("https://www.alpinabook.ru/catalog/book-data-yoga","ссылка на книгу")</f>
        <v>ссылка на книгу</v>
      </c>
      <c r="Y1424" s="38" t="str">
        <f>HYPERLINK("","")</f>
        <v/>
      </c>
      <c r="Z1424" s="29"/>
      <c r="AT1424" s="1">
        <f t="shared" ref="AT1424:AT1431" si="248">IF($A1424&lt;&gt;0,1,0)</f>
        <v>0</v>
      </c>
      <c r="AU1424" s="1">
        <f t="shared" ref="AU1424:AU1431" si="249">$A1424*$B1424</f>
        <v>0</v>
      </c>
      <c r="AV1424" s="1">
        <f t="shared" ref="AV1424:AV1431" si="250">$A1424*$N1424</f>
        <v>0</v>
      </c>
      <c r="AW1424" s="1">
        <f t="shared" ref="AW1424:AW1431" si="251">IF($Q1424=0,0,INT($A1424/$Q1424))</f>
        <v>0</v>
      </c>
      <c r="AX1424" s="1">
        <f t="shared" ref="AX1424:AX1431" si="252">$A1424-$AW1424*$Q1424</f>
        <v>0</v>
      </c>
    </row>
    <row r="1425" spans="1:50" s="1" customFormat="1" ht="24.95" customHeight="1" outlineLevel="3" x14ac:dyDescent="0.2">
      <c r="A1425" s="11"/>
      <c r="B1425" s="15">
        <v>1790</v>
      </c>
      <c r="C1425" s="15">
        <v>2290</v>
      </c>
      <c r="D1425" s="12">
        <v>26490</v>
      </c>
      <c r="E1425" s="13" t="s">
        <v>4661</v>
      </c>
      <c r="F1425" s="13" t="s">
        <v>4662</v>
      </c>
      <c r="G1425" s="13" t="s">
        <v>97</v>
      </c>
      <c r="H1425" s="13"/>
      <c r="I1425" s="12">
        <v>2023</v>
      </c>
      <c r="J1425" s="13" t="s">
        <v>4663</v>
      </c>
      <c r="K1425" s="12">
        <v>9785206000795</v>
      </c>
      <c r="L1425" s="13" t="s">
        <v>4664</v>
      </c>
      <c r="M1425" s="12">
        <v>244</v>
      </c>
      <c r="N1425" s="14">
        <v>0.86</v>
      </c>
      <c r="O1425" s="12">
        <v>220</v>
      </c>
      <c r="P1425" s="12">
        <v>270</v>
      </c>
      <c r="Q1425" s="12">
        <v>6</v>
      </c>
      <c r="R1425" s="13" t="s">
        <v>300</v>
      </c>
      <c r="S1425" s="13"/>
      <c r="T1425" s="15">
        <v>2000</v>
      </c>
      <c r="U1425" s="13" t="s">
        <v>52</v>
      </c>
      <c r="V1425" s="13" t="s">
        <v>59</v>
      </c>
      <c r="W1425" s="12">
        <v>10</v>
      </c>
      <c r="X1425" s="33" t="str">
        <f>HYPERLINK("https://www.alpinabook.ru/catalog/book-zastavte-dannye-govorit","ссылка на книгу")</f>
        <v>ссылка на книгу</v>
      </c>
      <c r="Y1425" s="34" t="str">
        <f>HYPERLINK("https://api-enni.alpina.ru/FilePrivilegesApproval/170","https://api-enni.alpina.ru/FilePrivilegesApproval/170")</f>
        <v>https://api-enni.alpina.ru/FilePrivilegesApproval/170</v>
      </c>
      <c r="Z1425" s="13" t="s">
        <v>567</v>
      </c>
      <c r="AT1425" s="1">
        <f t="shared" si="248"/>
        <v>0</v>
      </c>
      <c r="AU1425" s="1">
        <f t="shared" si="249"/>
        <v>0</v>
      </c>
      <c r="AV1425" s="1">
        <f t="shared" si="250"/>
        <v>0</v>
      </c>
      <c r="AW1425" s="1">
        <f t="shared" si="251"/>
        <v>0</v>
      </c>
      <c r="AX1425" s="1">
        <f t="shared" si="252"/>
        <v>0</v>
      </c>
    </row>
    <row r="1426" spans="1:50" s="1" customFormat="1" ht="24.95" customHeight="1" outlineLevel="3" x14ac:dyDescent="0.2">
      <c r="A1426" s="11"/>
      <c r="B1426" s="12">
        <v>790</v>
      </c>
      <c r="C1426" s="15">
        <v>1190</v>
      </c>
      <c r="D1426" s="12">
        <v>23289</v>
      </c>
      <c r="E1426" s="13" t="s">
        <v>4665</v>
      </c>
      <c r="F1426" s="13" t="s">
        <v>4666</v>
      </c>
      <c r="G1426" s="13" t="s">
        <v>56</v>
      </c>
      <c r="H1426" s="13" t="s">
        <v>40</v>
      </c>
      <c r="I1426" s="12">
        <v>2025</v>
      </c>
      <c r="J1426" s="13" t="s">
        <v>4667</v>
      </c>
      <c r="K1426" s="12">
        <v>9785961475630</v>
      </c>
      <c r="L1426" s="13" t="s">
        <v>4668</v>
      </c>
      <c r="M1426" s="12">
        <v>256</v>
      </c>
      <c r="N1426" s="14">
        <v>0.4</v>
      </c>
      <c r="O1426" s="12">
        <v>150</v>
      </c>
      <c r="P1426" s="12">
        <v>220</v>
      </c>
      <c r="Q1426" s="12">
        <v>8</v>
      </c>
      <c r="R1426" s="13" t="s">
        <v>43</v>
      </c>
      <c r="S1426" s="13"/>
      <c r="T1426" s="15">
        <v>1000</v>
      </c>
      <c r="U1426" s="13" t="s">
        <v>52</v>
      </c>
      <c r="V1426" s="13" t="s">
        <v>64</v>
      </c>
      <c r="W1426" s="12">
        <v>10</v>
      </c>
      <c r="X1426" s="33" t="str">
        <f>HYPERLINK("","ссылка на книгу")</f>
        <v>ссылка на книгу</v>
      </c>
      <c r="Y1426" s="34" t="str">
        <f>HYPERLINK("https://api-enni.alpina.ru/FilePrivilegesApproval/124","https://api-enni.alpina.ru/FilePrivilegesApproval/124")</f>
        <v>https://api-enni.alpina.ru/FilePrivilegesApproval/124</v>
      </c>
      <c r="Z1426" s="13" t="s">
        <v>101</v>
      </c>
      <c r="AT1426" s="1">
        <f t="shared" si="248"/>
        <v>0</v>
      </c>
      <c r="AU1426" s="1">
        <f t="shared" si="249"/>
        <v>0</v>
      </c>
      <c r="AV1426" s="1">
        <f t="shared" si="250"/>
        <v>0</v>
      </c>
      <c r="AW1426" s="1">
        <f t="shared" si="251"/>
        <v>0</v>
      </c>
      <c r="AX1426" s="1">
        <f t="shared" si="252"/>
        <v>0</v>
      </c>
    </row>
    <row r="1427" spans="1:50" s="1" customFormat="1" ht="24.95" customHeight="1" outlineLevel="3" x14ac:dyDescent="0.2">
      <c r="A1427" s="11"/>
      <c r="B1427" s="15">
        <v>1290</v>
      </c>
      <c r="C1427" s="15">
        <v>1290</v>
      </c>
      <c r="D1427" s="12">
        <v>26298</v>
      </c>
      <c r="E1427" s="13" t="s">
        <v>4669</v>
      </c>
      <c r="F1427" s="13" t="s">
        <v>4670</v>
      </c>
      <c r="G1427" s="13" t="s">
        <v>97</v>
      </c>
      <c r="H1427" s="13"/>
      <c r="I1427" s="12">
        <v>2022</v>
      </c>
      <c r="J1427" s="13" t="s">
        <v>4671</v>
      </c>
      <c r="K1427" s="12">
        <v>9785206000672</v>
      </c>
      <c r="L1427" s="13" t="s">
        <v>4672</v>
      </c>
      <c r="M1427" s="12">
        <v>304</v>
      </c>
      <c r="N1427" s="14">
        <v>1.1499999999999999</v>
      </c>
      <c r="O1427" s="12">
        <v>175</v>
      </c>
      <c r="P1427" s="12">
        <v>266</v>
      </c>
      <c r="Q1427" s="12">
        <v>4</v>
      </c>
      <c r="R1427" s="13" t="s">
        <v>300</v>
      </c>
      <c r="S1427" s="13"/>
      <c r="T1427" s="15">
        <v>1575</v>
      </c>
      <c r="U1427" s="13" t="s">
        <v>52</v>
      </c>
      <c r="V1427" s="13" t="s">
        <v>59</v>
      </c>
      <c r="W1427" s="12">
        <v>20</v>
      </c>
      <c r="X1427" s="33" t="str">
        <f>HYPERLINK("https://www.alpinabook.ru/catalog/book-nastolnaya-kniga-ekspluatatora","ссылка на книгу")</f>
        <v>ссылка на книгу</v>
      </c>
      <c r="Y1427" s="34" t="str">
        <f>HYPERLINK("","")</f>
        <v/>
      </c>
      <c r="Z1427" s="13"/>
      <c r="AT1427" s="1">
        <f t="shared" si="248"/>
        <v>0</v>
      </c>
      <c r="AU1427" s="1">
        <f t="shared" si="249"/>
        <v>0</v>
      </c>
      <c r="AV1427" s="1">
        <f t="shared" si="250"/>
        <v>0</v>
      </c>
      <c r="AW1427" s="1">
        <f t="shared" si="251"/>
        <v>0</v>
      </c>
      <c r="AX1427" s="1">
        <f t="shared" si="252"/>
        <v>0</v>
      </c>
    </row>
    <row r="1428" spans="1:50" s="1" customFormat="1" ht="24.95" customHeight="1" outlineLevel="3" x14ac:dyDescent="0.2">
      <c r="A1428" s="11"/>
      <c r="B1428" s="12">
        <v>790</v>
      </c>
      <c r="C1428" s="15">
        <v>1190</v>
      </c>
      <c r="D1428" s="12">
        <v>12783</v>
      </c>
      <c r="E1428" s="13" t="s">
        <v>588</v>
      </c>
      <c r="F1428" s="13" t="s">
        <v>589</v>
      </c>
      <c r="G1428" s="13" t="s">
        <v>56</v>
      </c>
      <c r="H1428" s="13" t="s">
        <v>40</v>
      </c>
      <c r="I1428" s="12">
        <v>2025</v>
      </c>
      <c r="J1428" s="13" t="s">
        <v>590</v>
      </c>
      <c r="K1428" s="12">
        <v>9785961431704</v>
      </c>
      <c r="L1428" s="13" t="s">
        <v>591</v>
      </c>
      <c r="M1428" s="12">
        <v>222</v>
      </c>
      <c r="N1428" s="14">
        <v>0.4</v>
      </c>
      <c r="O1428" s="12">
        <v>153</v>
      </c>
      <c r="P1428" s="12">
        <v>216</v>
      </c>
      <c r="Q1428" s="12">
        <v>10</v>
      </c>
      <c r="R1428" s="13" t="s">
        <v>43</v>
      </c>
      <c r="S1428" s="13"/>
      <c r="T1428" s="15">
        <v>1000</v>
      </c>
      <c r="U1428" s="13" t="s">
        <v>52</v>
      </c>
      <c r="V1428" s="13" t="s">
        <v>59</v>
      </c>
      <c r="W1428" s="12">
        <v>10</v>
      </c>
      <c r="X1428" s="33" t="str">
        <f>HYPERLINK("https://www.alpinabook.ru/catalog/book-nauka-o-dannykh","ссылка на книгу")</f>
        <v>ссылка на книгу</v>
      </c>
      <c r="Y1428" s="34" t="str">
        <f>HYPERLINK("https://api-enni.alpina.ru/FilePrivilegesApproval/140","https://api-enni.alpina.ru/FilePrivilegesApproval/140")</f>
        <v>https://api-enni.alpina.ru/FilePrivilegesApproval/140</v>
      </c>
      <c r="Z1428" s="13" t="s">
        <v>282</v>
      </c>
      <c r="AT1428" s="1">
        <f t="shared" si="248"/>
        <v>0</v>
      </c>
      <c r="AU1428" s="1">
        <f t="shared" si="249"/>
        <v>0</v>
      </c>
      <c r="AV1428" s="1">
        <f t="shared" si="250"/>
        <v>0</v>
      </c>
      <c r="AW1428" s="1">
        <f t="shared" si="251"/>
        <v>0</v>
      </c>
      <c r="AX1428" s="1">
        <f t="shared" si="252"/>
        <v>0</v>
      </c>
    </row>
    <row r="1429" spans="1:50" s="1" customFormat="1" ht="24.95" customHeight="1" outlineLevel="3" x14ac:dyDescent="0.2">
      <c r="A1429" s="26"/>
      <c r="B1429" s="27">
        <v>890</v>
      </c>
      <c r="C1429" s="28">
        <v>1290</v>
      </c>
      <c r="D1429" s="27">
        <v>8692</v>
      </c>
      <c r="E1429" s="29" t="s">
        <v>4673</v>
      </c>
      <c r="F1429" s="29" t="s">
        <v>4674</v>
      </c>
      <c r="G1429" s="29" t="s">
        <v>56</v>
      </c>
      <c r="H1429" s="29" t="s">
        <v>40</v>
      </c>
      <c r="I1429" s="27">
        <v>2023</v>
      </c>
      <c r="J1429" s="29" t="s">
        <v>4675</v>
      </c>
      <c r="K1429" s="27">
        <v>9785961441437</v>
      </c>
      <c r="L1429" s="29" t="s">
        <v>4676</v>
      </c>
      <c r="M1429" s="27">
        <v>366</v>
      </c>
      <c r="N1429" s="30">
        <v>0.54</v>
      </c>
      <c r="O1429" s="27">
        <v>146</v>
      </c>
      <c r="P1429" s="27">
        <v>216</v>
      </c>
      <c r="Q1429" s="27">
        <v>6</v>
      </c>
      <c r="R1429" s="29" t="s">
        <v>43</v>
      </c>
      <c r="S1429" s="29"/>
      <c r="T1429" s="28">
        <v>1000</v>
      </c>
      <c r="U1429" s="29" t="s">
        <v>52</v>
      </c>
      <c r="V1429" s="29" t="s">
        <v>59</v>
      </c>
      <c r="W1429" s="27">
        <v>10</v>
      </c>
      <c r="X1429" s="37" t="str">
        <f>HYPERLINK("https://www.alpinabook.ru/catalog/book-temnye-dannye","ссылка на книгу")</f>
        <v>ссылка на книгу</v>
      </c>
      <c r="Y1429" s="38" t="str">
        <f>HYPERLINK("https://api-enni.alpina.ru/FilePrivilegesApproval/135","https://api-enni.alpina.ru/FilePrivilegesApproval/135")</f>
        <v>https://api-enni.alpina.ru/FilePrivilegesApproval/135</v>
      </c>
      <c r="Z1429" s="29"/>
      <c r="AT1429" s="1">
        <f t="shared" si="248"/>
        <v>0</v>
      </c>
      <c r="AU1429" s="1">
        <f t="shared" si="249"/>
        <v>0</v>
      </c>
      <c r="AV1429" s="1">
        <f t="shared" si="250"/>
        <v>0</v>
      </c>
      <c r="AW1429" s="1">
        <f t="shared" si="251"/>
        <v>0</v>
      </c>
      <c r="AX1429" s="1">
        <f t="shared" si="252"/>
        <v>0</v>
      </c>
    </row>
    <row r="1430" spans="1:50" s="1" customFormat="1" ht="24.95" customHeight="1" outlineLevel="3" x14ac:dyDescent="0.2">
      <c r="A1430" s="26"/>
      <c r="B1430" s="27">
        <v>840</v>
      </c>
      <c r="C1430" s="28">
        <v>1290</v>
      </c>
      <c r="D1430" s="27">
        <v>30670</v>
      </c>
      <c r="E1430" s="29" t="s">
        <v>4677</v>
      </c>
      <c r="F1430" s="29" t="s">
        <v>4678</v>
      </c>
      <c r="G1430" s="29" t="s">
        <v>56</v>
      </c>
      <c r="H1430" s="29"/>
      <c r="I1430" s="27">
        <v>2025</v>
      </c>
      <c r="J1430" s="29" t="s">
        <v>4679</v>
      </c>
      <c r="K1430" s="27">
        <v>9785961496154</v>
      </c>
      <c r="L1430" s="29" t="s">
        <v>4680</v>
      </c>
      <c r="M1430" s="27">
        <v>557</v>
      </c>
      <c r="N1430" s="30">
        <v>0.94</v>
      </c>
      <c r="O1430" s="27">
        <v>150</v>
      </c>
      <c r="P1430" s="27">
        <v>220</v>
      </c>
      <c r="Q1430" s="27">
        <v>6</v>
      </c>
      <c r="R1430" s="29" t="s">
        <v>43</v>
      </c>
      <c r="S1430" s="29"/>
      <c r="T1430" s="28">
        <v>1500</v>
      </c>
      <c r="U1430" s="29" t="s">
        <v>52</v>
      </c>
      <c r="V1430" s="29" t="s">
        <v>64</v>
      </c>
      <c r="W1430" s="27">
        <v>10</v>
      </c>
      <c r="X1430" s="37" t="str">
        <f>HYPERLINK("https://www.alpinabook.ru/catalog/book-finansovoe-modelirovanie-v-excel-dopolnennoe","ссылка на книгу")</f>
        <v>ссылка на книгу</v>
      </c>
      <c r="Y1430" s="38" t="str">
        <f>HYPERLINK("https://api-enni.alpina.ru/FilePrivilegesApproval/405","https://api-enni.alpina.ru/FilePrivilegesApproval/405")</f>
        <v>https://api-enni.alpina.ru/FilePrivilegesApproval/405</v>
      </c>
      <c r="Z1430" s="29"/>
      <c r="AT1430" s="1">
        <f t="shared" si="248"/>
        <v>0</v>
      </c>
      <c r="AU1430" s="1">
        <f t="shared" si="249"/>
        <v>0</v>
      </c>
      <c r="AV1430" s="1">
        <f t="shared" si="250"/>
        <v>0</v>
      </c>
      <c r="AW1430" s="1">
        <f t="shared" si="251"/>
        <v>0</v>
      </c>
      <c r="AX1430" s="1">
        <f t="shared" si="252"/>
        <v>0</v>
      </c>
    </row>
    <row r="1431" spans="1:50" s="1" customFormat="1" ht="24.95" customHeight="1" outlineLevel="3" x14ac:dyDescent="0.2">
      <c r="A1431" s="26"/>
      <c r="B1431" s="28">
        <v>2490</v>
      </c>
      <c r="C1431" s="28">
        <v>2990</v>
      </c>
      <c r="D1431" s="27">
        <v>24608</v>
      </c>
      <c r="E1431" s="29" t="s">
        <v>4681</v>
      </c>
      <c r="F1431" s="29" t="s">
        <v>4682</v>
      </c>
      <c r="G1431" s="29" t="s">
        <v>97</v>
      </c>
      <c r="H1431" s="29"/>
      <c r="I1431" s="27">
        <v>2022</v>
      </c>
      <c r="J1431" s="29" t="s">
        <v>4683</v>
      </c>
      <c r="K1431" s="27">
        <v>9785206000542</v>
      </c>
      <c r="L1431" s="29" t="s">
        <v>4684</v>
      </c>
      <c r="M1431" s="27">
        <v>574</v>
      </c>
      <c r="N1431" s="30">
        <v>0.6</v>
      </c>
      <c r="O1431" s="27">
        <v>168</v>
      </c>
      <c r="P1431" s="27">
        <v>241</v>
      </c>
      <c r="Q1431" s="27">
        <v>1</v>
      </c>
      <c r="R1431" s="29" t="s">
        <v>94</v>
      </c>
      <c r="S1431" s="29"/>
      <c r="T1431" s="28">
        <v>1000</v>
      </c>
      <c r="U1431" s="29" t="s">
        <v>52</v>
      </c>
      <c r="V1431" s="29" t="s">
        <v>59</v>
      </c>
      <c r="W1431" s="27">
        <v>10</v>
      </c>
      <c r="X1431" s="37" t="str">
        <f>HYPERLINK("https://www.alpinabook.ru/catalog/book-tsennost-vashikh-dannykh","ссылка на книгу")</f>
        <v>ссылка на книгу</v>
      </c>
      <c r="Y1431" s="38" t="str">
        <f>HYPERLINK("https://api-enni.alpina.ru/FilePrivilegesApproval/155","https://api-enni.alpina.ru/FilePrivilegesApproval/155")</f>
        <v>https://api-enni.alpina.ru/FilePrivilegesApproval/155</v>
      </c>
      <c r="Z1431" s="29"/>
      <c r="AT1431" s="1">
        <f t="shared" si="248"/>
        <v>0</v>
      </c>
      <c r="AU1431" s="1">
        <f t="shared" si="249"/>
        <v>0</v>
      </c>
      <c r="AV1431" s="1">
        <f t="shared" si="250"/>
        <v>0</v>
      </c>
      <c r="AW1431" s="1">
        <f t="shared" si="251"/>
        <v>0</v>
      </c>
      <c r="AX1431" s="1">
        <f t="shared" si="252"/>
        <v>0</v>
      </c>
    </row>
    <row r="1432" spans="1:50" ht="11.1" customHeight="1" outlineLevel="2" x14ac:dyDescent="0.2">
      <c r="A1432" s="40" t="s">
        <v>4685</v>
      </c>
      <c r="B1432" s="40"/>
      <c r="C1432" s="40"/>
      <c r="D1432" s="40"/>
      <c r="E1432" s="40"/>
      <c r="F1432" s="40"/>
      <c r="G1432" s="40"/>
      <c r="H1432" s="40"/>
      <c r="I1432" s="40"/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20"/>
    </row>
    <row r="1433" spans="1:50" s="1" customFormat="1" ht="24.95" customHeight="1" outlineLevel="3" x14ac:dyDescent="0.2">
      <c r="A1433" s="11"/>
      <c r="B1433" s="12">
        <v>740</v>
      </c>
      <c r="C1433" s="12">
        <v>740</v>
      </c>
      <c r="D1433" s="12">
        <v>17449</v>
      </c>
      <c r="E1433" s="13" t="s">
        <v>4686</v>
      </c>
      <c r="F1433" s="13" t="s">
        <v>4687</v>
      </c>
      <c r="G1433" s="13" t="s">
        <v>97</v>
      </c>
      <c r="H1433" s="13" t="s">
        <v>40</v>
      </c>
      <c r="I1433" s="12">
        <v>2024</v>
      </c>
      <c r="J1433" s="13" t="s">
        <v>4688</v>
      </c>
      <c r="K1433" s="12">
        <v>9785907274464</v>
      </c>
      <c r="L1433" s="13" t="s">
        <v>4689</v>
      </c>
      <c r="M1433" s="12">
        <v>176</v>
      </c>
      <c r="N1433" s="14">
        <v>0.32</v>
      </c>
      <c r="O1433" s="12">
        <v>153</v>
      </c>
      <c r="P1433" s="12">
        <v>216</v>
      </c>
      <c r="Q1433" s="12">
        <v>6</v>
      </c>
      <c r="R1433" s="13" t="s">
        <v>43</v>
      </c>
      <c r="S1433" s="13"/>
      <c r="T1433" s="15">
        <v>1000</v>
      </c>
      <c r="U1433" s="13" t="s">
        <v>52</v>
      </c>
      <c r="V1433" s="13" t="s">
        <v>59</v>
      </c>
      <c r="W1433" s="12">
        <v>10</v>
      </c>
      <c r="X1433" s="33" t="str">
        <f>HYPERLINK("https://www.alpinabook.ru/catalog/book-transformatsiya-korporativnoy-kultury","ссылка на книгу")</f>
        <v>ссылка на книгу</v>
      </c>
      <c r="Y1433" s="34" t="str">
        <f>HYPERLINK("https://api-enni.alpina.ru/FilePrivilegesApproval/74","https://api-enni.alpina.ru/FilePrivilegesApproval/74")</f>
        <v>https://api-enni.alpina.ru/FilePrivilegesApproval/74</v>
      </c>
      <c r="Z1433" s="13"/>
      <c r="AT1433" s="1">
        <f t="shared" ref="AT1433:AT1460" si="253">IF($A1433&lt;&gt;0,1,0)</f>
        <v>0</v>
      </c>
      <c r="AU1433" s="1">
        <f t="shared" ref="AU1433:AU1460" si="254">$A1433*$B1433</f>
        <v>0</v>
      </c>
      <c r="AV1433" s="1">
        <f t="shared" ref="AV1433:AV1460" si="255">$A1433*$N1433</f>
        <v>0</v>
      </c>
      <c r="AW1433" s="1">
        <f t="shared" ref="AW1433:AW1460" si="256">IF($Q1433=0,0,INT($A1433/$Q1433))</f>
        <v>0</v>
      </c>
      <c r="AX1433" s="1">
        <f t="shared" ref="AX1433:AX1460" si="257">$A1433-$AW1433*$Q1433</f>
        <v>0</v>
      </c>
    </row>
    <row r="1434" spans="1:50" s="1" customFormat="1" ht="24.95" customHeight="1" outlineLevel="3" x14ac:dyDescent="0.2">
      <c r="A1434" s="26"/>
      <c r="B1434" s="27">
        <v>590</v>
      </c>
      <c r="C1434" s="27">
        <v>590</v>
      </c>
      <c r="D1434" s="27">
        <v>18930</v>
      </c>
      <c r="E1434" s="29" t="s">
        <v>4690</v>
      </c>
      <c r="F1434" s="29" t="s">
        <v>4691</v>
      </c>
      <c r="G1434" s="29" t="s">
        <v>56</v>
      </c>
      <c r="H1434" s="29"/>
      <c r="I1434" s="27">
        <v>2022</v>
      </c>
      <c r="J1434" s="29" t="s">
        <v>4692</v>
      </c>
      <c r="K1434" s="27">
        <v>9785961438086</v>
      </c>
      <c r="L1434" s="29" t="s">
        <v>4693</v>
      </c>
      <c r="M1434" s="27">
        <v>260</v>
      </c>
      <c r="N1434" s="30">
        <v>0.42</v>
      </c>
      <c r="O1434" s="27">
        <v>146</v>
      </c>
      <c r="P1434" s="27">
        <v>216</v>
      </c>
      <c r="Q1434" s="27">
        <v>16</v>
      </c>
      <c r="R1434" s="29" t="s">
        <v>43</v>
      </c>
      <c r="S1434" s="29"/>
      <c r="T1434" s="28">
        <v>2000</v>
      </c>
      <c r="U1434" s="29" t="s">
        <v>52</v>
      </c>
      <c r="V1434" s="29" t="s">
        <v>59</v>
      </c>
      <c r="W1434" s="27">
        <v>10</v>
      </c>
      <c r="X1434" s="37" t="str">
        <f>HYPERLINK("https://www.alpinabook.ru/catalog/book-hr-bez-stereotipov","ссылка на книгу")</f>
        <v>ссылка на книгу</v>
      </c>
      <c r="Y1434" s="38" t="str">
        <f>HYPERLINK("https://api-enni.alpina.ru/FilePrivilegesApproval/124","https://api-enni.alpina.ru/FilePrivilegesApproval/124")</f>
        <v>https://api-enni.alpina.ru/FilePrivilegesApproval/124</v>
      </c>
      <c r="Z1434" s="29"/>
      <c r="AT1434" s="1">
        <f t="shared" si="253"/>
        <v>0</v>
      </c>
      <c r="AU1434" s="1">
        <f t="shared" si="254"/>
        <v>0</v>
      </c>
      <c r="AV1434" s="1">
        <f t="shared" si="255"/>
        <v>0</v>
      </c>
      <c r="AW1434" s="1">
        <f t="shared" si="256"/>
        <v>0</v>
      </c>
      <c r="AX1434" s="1">
        <f t="shared" si="257"/>
        <v>0</v>
      </c>
    </row>
    <row r="1435" spans="1:50" s="1" customFormat="1" ht="24.95" customHeight="1" outlineLevel="3" x14ac:dyDescent="0.2">
      <c r="A1435" s="11"/>
      <c r="B1435" s="12">
        <v>640</v>
      </c>
      <c r="C1435" s="12">
        <v>640</v>
      </c>
      <c r="D1435" s="12">
        <v>24055</v>
      </c>
      <c r="E1435" s="13" t="s">
        <v>4694</v>
      </c>
      <c r="F1435" s="13" t="s">
        <v>4695</v>
      </c>
      <c r="G1435" s="13" t="s">
        <v>97</v>
      </c>
      <c r="H1435" s="13"/>
      <c r="I1435" s="12">
        <v>2022</v>
      </c>
      <c r="J1435" s="13" t="s">
        <v>4696</v>
      </c>
      <c r="K1435" s="12">
        <v>9785907470965</v>
      </c>
      <c r="L1435" s="13" t="s">
        <v>4697</v>
      </c>
      <c r="M1435" s="12">
        <v>184</v>
      </c>
      <c r="N1435" s="14">
        <v>0.34</v>
      </c>
      <c r="O1435" s="12">
        <v>146</v>
      </c>
      <c r="P1435" s="12">
        <v>216</v>
      </c>
      <c r="Q1435" s="12">
        <v>14</v>
      </c>
      <c r="R1435" s="13" t="s">
        <v>43</v>
      </c>
      <c r="S1435" s="13"/>
      <c r="T1435" s="15">
        <v>2000</v>
      </c>
      <c r="U1435" s="13" t="s">
        <v>52</v>
      </c>
      <c r="V1435" s="13" t="s">
        <v>59</v>
      </c>
      <c r="W1435" s="12">
        <v>10</v>
      </c>
      <c r="X1435" s="33" t="str">
        <f>HYPERLINK("https://www.alpinabook.ru/catalog/book-vse-chto-vy-khoteli-znat-ob-it-rekrutinge","ссылка на книгу")</f>
        <v>ссылка на книгу</v>
      </c>
      <c r="Y1435" s="34" t="str">
        <f>HYPERLINK("https://api-enni.alpina.ru/FilePrivilegesApproval/129","https://api-enni.alpina.ru/FilePrivilegesApproval/129")</f>
        <v>https://api-enni.alpina.ru/FilePrivilegesApproval/129</v>
      </c>
      <c r="Z1435" s="13"/>
      <c r="AT1435" s="1">
        <f t="shared" si="253"/>
        <v>0</v>
      </c>
      <c r="AU1435" s="1">
        <f t="shared" si="254"/>
        <v>0</v>
      </c>
      <c r="AV1435" s="1">
        <f t="shared" si="255"/>
        <v>0</v>
      </c>
      <c r="AW1435" s="1">
        <f t="shared" si="256"/>
        <v>0</v>
      </c>
      <c r="AX1435" s="1">
        <f t="shared" si="257"/>
        <v>0</v>
      </c>
    </row>
    <row r="1436" spans="1:50" s="1" customFormat="1" ht="24.95" customHeight="1" outlineLevel="3" x14ac:dyDescent="0.2">
      <c r="A1436" s="11"/>
      <c r="B1436" s="12">
        <v>740</v>
      </c>
      <c r="C1436" s="15">
        <v>1090</v>
      </c>
      <c r="D1436" s="12">
        <v>24088</v>
      </c>
      <c r="E1436" s="13" t="s">
        <v>4698</v>
      </c>
      <c r="F1436" s="13" t="s">
        <v>4699</v>
      </c>
      <c r="G1436" s="13" t="s">
        <v>97</v>
      </c>
      <c r="H1436" s="13"/>
      <c r="I1436" s="12">
        <v>2024</v>
      </c>
      <c r="J1436" s="13" t="s">
        <v>4700</v>
      </c>
      <c r="K1436" s="12">
        <v>9785907470170</v>
      </c>
      <c r="L1436" s="13" t="s">
        <v>4701</v>
      </c>
      <c r="M1436" s="12">
        <v>208</v>
      </c>
      <c r="N1436" s="14">
        <v>0.36</v>
      </c>
      <c r="O1436" s="12">
        <v>160</v>
      </c>
      <c r="P1436" s="12">
        <v>220</v>
      </c>
      <c r="Q1436" s="12">
        <v>7</v>
      </c>
      <c r="R1436" s="13" t="s">
        <v>43</v>
      </c>
      <c r="S1436" s="13"/>
      <c r="T1436" s="15">
        <v>1500</v>
      </c>
      <c r="U1436" s="13" t="s">
        <v>52</v>
      </c>
      <c r="V1436" s="13" t="s">
        <v>59</v>
      </c>
      <c r="W1436" s="12">
        <v>10</v>
      </c>
      <c r="X1436" s="33" t="str">
        <f>HYPERLINK("https://www.alpinabook.ru/catalog/book-geroy-i-ego-komanda","ссылка на книгу")</f>
        <v>ссылка на книгу</v>
      </c>
      <c r="Y1436" s="34" t="str">
        <f>HYPERLINK("https://api-enni.alpina.ru/FilePrivilegesApproval/401","https://api-enni.alpina.ru/FilePrivilegesApproval/401")</f>
        <v>https://api-enni.alpina.ru/FilePrivilegesApproval/401</v>
      </c>
      <c r="Z1436" s="13"/>
      <c r="AT1436" s="1">
        <f t="shared" si="253"/>
        <v>0</v>
      </c>
      <c r="AU1436" s="1">
        <f t="shared" si="254"/>
        <v>0</v>
      </c>
      <c r="AV1436" s="1">
        <f t="shared" si="255"/>
        <v>0</v>
      </c>
      <c r="AW1436" s="1">
        <f t="shared" si="256"/>
        <v>0</v>
      </c>
      <c r="AX1436" s="1">
        <f t="shared" si="257"/>
        <v>0</v>
      </c>
    </row>
    <row r="1437" spans="1:50" s="1" customFormat="1" ht="24.95" customHeight="1" outlineLevel="3" x14ac:dyDescent="0.2">
      <c r="A1437" s="11"/>
      <c r="B1437" s="12">
        <v>990</v>
      </c>
      <c r="C1437" s="15">
        <v>1490</v>
      </c>
      <c r="D1437" s="12">
        <v>32088</v>
      </c>
      <c r="E1437" s="13" t="s">
        <v>4702</v>
      </c>
      <c r="F1437" s="13" t="s">
        <v>4703</v>
      </c>
      <c r="G1437" s="13" t="s">
        <v>97</v>
      </c>
      <c r="H1437" s="13"/>
      <c r="I1437" s="12">
        <v>2025</v>
      </c>
      <c r="J1437" s="13" t="s">
        <v>4704</v>
      </c>
      <c r="K1437" s="12">
        <v>9785206004090</v>
      </c>
      <c r="L1437" s="13" t="s">
        <v>4705</v>
      </c>
      <c r="M1437" s="12">
        <v>208</v>
      </c>
      <c r="N1437" s="14">
        <v>0.42</v>
      </c>
      <c r="O1437" s="12">
        <v>150</v>
      </c>
      <c r="P1437" s="12">
        <v>220</v>
      </c>
      <c r="Q1437" s="12">
        <v>6</v>
      </c>
      <c r="R1437" s="13" t="s">
        <v>43</v>
      </c>
      <c r="S1437" s="13"/>
      <c r="T1437" s="15">
        <v>1005</v>
      </c>
      <c r="U1437" s="13" t="s">
        <v>52</v>
      </c>
      <c r="V1437" s="13" t="s">
        <v>45</v>
      </c>
      <c r="W1437" s="12">
        <v>10</v>
      </c>
      <c r="X1437" s="33" t="str">
        <f>HYPERLINK("https://www.alpinabook.ru/catalog/book-da-nachnetsya-igra","ссылка на книгу")</f>
        <v>ссылка на книгу</v>
      </c>
      <c r="Y1437" s="34" t="str">
        <f>HYPERLINK("https://api-enni.alpina.ru/FilePrivilegesApproval/735","https://api-enni.alpina.ru/FilePrivilegesApproval/735")</f>
        <v>https://api-enni.alpina.ru/FilePrivilegesApproval/735</v>
      </c>
      <c r="Z1437" s="13"/>
      <c r="AT1437" s="1">
        <f t="shared" si="253"/>
        <v>0</v>
      </c>
      <c r="AU1437" s="1">
        <f t="shared" si="254"/>
        <v>0</v>
      </c>
      <c r="AV1437" s="1">
        <f t="shared" si="255"/>
        <v>0</v>
      </c>
      <c r="AW1437" s="1">
        <f t="shared" si="256"/>
        <v>0</v>
      </c>
      <c r="AX1437" s="1">
        <f t="shared" si="257"/>
        <v>0</v>
      </c>
    </row>
    <row r="1438" spans="1:50" s="1" customFormat="1" ht="24.95" customHeight="1" outlineLevel="3" x14ac:dyDescent="0.2">
      <c r="A1438" s="11"/>
      <c r="B1438" s="12">
        <v>690</v>
      </c>
      <c r="C1438" s="12">
        <v>990</v>
      </c>
      <c r="D1438" s="12">
        <v>25770</v>
      </c>
      <c r="E1438" s="13" t="s">
        <v>4706</v>
      </c>
      <c r="F1438" s="13" t="s">
        <v>4707</v>
      </c>
      <c r="G1438" s="13" t="s">
        <v>97</v>
      </c>
      <c r="H1438" s="13"/>
      <c r="I1438" s="12">
        <v>2023</v>
      </c>
      <c r="J1438" s="13" t="s">
        <v>4708</v>
      </c>
      <c r="K1438" s="12">
        <v>9785206000184</v>
      </c>
      <c r="L1438" s="13" t="s">
        <v>4709</v>
      </c>
      <c r="M1438" s="12">
        <v>424</v>
      </c>
      <c r="N1438" s="14">
        <v>0.5</v>
      </c>
      <c r="O1438" s="12">
        <v>150</v>
      </c>
      <c r="P1438" s="12">
        <v>220</v>
      </c>
      <c r="Q1438" s="12">
        <v>8</v>
      </c>
      <c r="R1438" s="13" t="s">
        <v>43</v>
      </c>
      <c r="S1438" s="13"/>
      <c r="T1438" s="15">
        <v>1005</v>
      </c>
      <c r="U1438" s="13" t="s">
        <v>52</v>
      </c>
      <c r="V1438" s="13" t="s">
        <v>59</v>
      </c>
      <c r="W1438" s="12">
        <v>10</v>
      </c>
      <c r="X1438" s="33" t="str">
        <f>HYPERLINK("https://www.alpinabook.ru/catalog/book-direktor-po-prizvaniyu","ссылка на книгу")</f>
        <v>ссылка на книгу</v>
      </c>
      <c r="Y1438" s="34" t="str">
        <f>HYPERLINK("https://api-enni.alpina.ru/FilePrivilegesApproval/199","https://api-enni.alpina.ru/FilePrivilegesApproval/199")</f>
        <v>https://api-enni.alpina.ru/FilePrivilegesApproval/199</v>
      </c>
      <c r="Z1438" s="13"/>
      <c r="AT1438" s="1">
        <f t="shared" si="253"/>
        <v>0</v>
      </c>
      <c r="AU1438" s="1">
        <f t="shared" si="254"/>
        <v>0</v>
      </c>
      <c r="AV1438" s="1">
        <f t="shared" si="255"/>
        <v>0</v>
      </c>
      <c r="AW1438" s="1">
        <f t="shared" si="256"/>
        <v>0</v>
      </c>
      <c r="AX1438" s="1">
        <f t="shared" si="257"/>
        <v>0</v>
      </c>
    </row>
    <row r="1439" spans="1:50" s="1" customFormat="1" ht="24.95" customHeight="1" outlineLevel="3" x14ac:dyDescent="0.2">
      <c r="A1439" s="11"/>
      <c r="B1439" s="12">
        <v>590</v>
      </c>
      <c r="C1439" s="12">
        <v>840</v>
      </c>
      <c r="D1439" s="12">
        <v>19148</v>
      </c>
      <c r="E1439" s="13" t="s">
        <v>414</v>
      </c>
      <c r="F1439" s="13" t="s">
        <v>415</v>
      </c>
      <c r="G1439" s="13" t="s">
        <v>56</v>
      </c>
      <c r="H1439" s="13"/>
      <c r="I1439" s="12">
        <v>2024</v>
      </c>
      <c r="J1439" s="13" t="s">
        <v>416</v>
      </c>
      <c r="K1439" s="12">
        <v>9785961483512</v>
      </c>
      <c r="L1439" s="13" t="s">
        <v>417</v>
      </c>
      <c r="M1439" s="12">
        <v>246</v>
      </c>
      <c r="N1439" s="14">
        <v>0.4</v>
      </c>
      <c r="O1439" s="12">
        <v>150</v>
      </c>
      <c r="P1439" s="12">
        <v>220</v>
      </c>
      <c r="Q1439" s="12">
        <v>5</v>
      </c>
      <c r="R1439" s="13" t="s">
        <v>43</v>
      </c>
      <c r="S1439" s="13"/>
      <c r="T1439" s="15">
        <v>1000</v>
      </c>
      <c r="U1439" s="13" t="s">
        <v>52</v>
      </c>
      <c r="V1439" s="13" t="s">
        <v>59</v>
      </c>
      <c r="W1439" s="12">
        <v>10</v>
      </c>
      <c r="X1439" s="33" t="str">
        <f>HYPERLINK("https://www.alpinabook.ru/catalog/book-doverie-v-biznese","ссылка на книгу")</f>
        <v>ссылка на книгу</v>
      </c>
      <c r="Y1439" s="34" t="str">
        <f>HYPERLINK("https://api-enni.alpina.ru/FilePrivilegesApproval/210","https://api-enni.alpina.ru/FilePrivilegesApproval/210")</f>
        <v>https://api-enni.alpina.ru/FilePrivilegesApproval/210</v>
      </c>
      <c r="Z1439" s="13"/>
      <c r="AT1439" s="1">
        <f t="shared" si="253"/>
        <v>0</v>
      </c>
      <c r="AU1439" s="1">
        <f t="shared" si="254"/>
        <v>0</v>
      </c>
      <c r="AV1439" s="1">
        <f t="shared" si="255"/>
        <v>0</v>
      </c>
      <c r="AW1439" s="1">
        <f t="shared" si="256"/>
        <v>0</v>
      </c>
      <c r="AX1439" s="1">
        <f t="shared" si="257"/>
        <v>0</v>
      </c>
    </row>
    <row r="1440" spans="1:50" s="1" customFormat="1" ht="24.95" customHeight="1" outlineLevel="3" x14ac:dyDescent="0.2">
      <c r="A1440" s="11"/>
      <c r="B1440" s="12">
        <v>690</v>
      </c>
      <c r="C1440" s="12">
        <v>990</v>
      </c>
      <c r="D1440" s="12">
        <v>139</v>
      </c>
      <c r="E1440" s="13" t="s">
        <v>510</v>
      </c>
      <c r="F1440" s="13" t="s">
        <v>4710</v>
      </c>
      <c r="G1440" s="13" t="s">
        <v>56</v>
      </c>
      <c r="H1440" s="13"/>
      <c r="I1440" s="12">
        <v>2025</v>
      </c>
      <c r="J1440" s="13" t="s">
        <v>4711</v>
      </c>
      <c r="K1440" s="12">
        <v>9785961471007</v>
      </c>
      <c r="L1440" s="13" t="s">
        <v>4712</v>
      </c>
      <c r="M1440" s="12">
        <v>313</v>
      </c>
      <c r="N1440" s="14">
        <v>0.4</v>
      </c>
      <c r="O1440" s="12">
        <v>163</v>
      </c>
      <c r="P1440" s="12">
        <v>215</v>
      </c>
      <c r="Q1440" s="12">
        <v>6</v>
      </c>
      <c r="R1440" s="13" t="s">
        <v>100</v>
      </c>
      <c r="S1440" s="13"/>
      <c r="T1440" s="15">
        <v>3000</v>
      </c>
      <c r="U1440" s="13" t="s">
        <v>44</v>
      </c>
      <c r="V1440" s="13" t="s">
        <v>64</v>
      </c>
      <c r="W1440" s="12">
        <v>10</v>
      </c>
      <c r="X1440" s="33" t="str">
        <f>HYPERLINK("https://www.alpinabook.ru/catalog/book-iskusstvo-podbora-personala-za-chas","ссылка на книгу")</f>
        <v>ссылка на книгу</v>
      </c>
      <c r="Y1440" s="34" t="str">
        <f>HYPERLINK("https://api-enni.alpina.ru/FilePrivilegesApproval/2","https://api-enni.alpina.ru/FilePrivilegesApproval/2")</f>
        <v>https://api-enni.alpina.ru/FilePrivilegesApproval/2</v>
      </c>
      <c r="Z1440" s="13"/>
      <c r="AT1440" s="1">
        <f t="shared" si="253"/>
        <v>0</v>
      </c>
      <c r="AU1440" s="1">
        <f t="shared" si="254"/>
        <v>0</v>
      </c>
      <c r="AV1440" s="1">
        <f t="shared" si="255"/>
        <v>0</v>
      </c>
      <c r="AW1440" s="1">
        <f t="shared" si="256"/>
        <v>0</v>
      </c>
      <c r="AX1440" s="1">
        <f t="shared" si="257"/>
        <v>0</v>
      </c>
    </row>
    <row r="1441" spans="1:50" s="1" customFormat="1" ht="24.95" customHeight="1" outlineLevel="3" x14ac:dyDescent="0.2">
      <c r="A1441" s="11"/>
      <c r="B1441" s="12">
        <v>790</v>
      </c>
      <c r="C1441" s="15">
        <v>1190</v>
      </c>
      <c r="D1441" s="12">
        <v>27970</v>
      </c>
      <c r="E1441" s="13" t="s">
        <v>4713</v>
      </c>
      <c r="F1441" s="13" t="s">
        <v>4714</v>
      </c>
      <c r="G1441" s="13" t="s">
        <v>97</v>
      </c>
      <c r="H1441" s="13"/>
      <c r="I1441" s="12">
        <v>2023</v>
      </c>
      <c r="J1441" s="13" t="s">
        <v>4715</v>
      </c>
      <c r="K1441" s="12">
        <v>9785206001884</v>
      </c>
      <c r="L1441" s="13" t="s">
        <v>4716</v>
      </c>
      <c r="M1441" s="12">
        <v>50</v>
      </c>
      <c r="N1441" s="14">
        <v>0.14000000000000001</v>
      </c>
      <c r="O1441" s="12">
        <v>80</v>
      </c>
      <c r="P1441" s="12">
        <v>140</v>
      </c>
      <c r="Q1441" s="12">
        <v>29</v>
      </c>
      <c r="R1441" s="13" t="s">
        <v>43</v>
      </c>
      <c r="S1441" s="13"/>
      <c r="T1441" s="15">
        <v>1005</v>
      </c>
      <c r="U1441" s="13" t="s">
        <v>44</v>
      </c>
      <c r="V1441" s="13" t="s">
        <v>59</v>
      </c>
      <c r="W1441" s="12">
        <v>20</v>
      </c>
      <c r="X1441" s="33" t="str">
        <f>HYPERLINK("https://www.alpinabook.ru/catalog/book-karernaya-shpargalka","ссылка на книгу")</f>
        <v>ссылка на книгу</v>
      </c>
      <c r="Y1441" s="34" t="str">
        <f>HYPERLINK("https://api-enni.alpina.ru/FilePrivilegesApproval/237","https://api-enni.alpina.ru/FilePrivilegesApproval/237")</f>
        <v>https://api-enni.alpina.ru/FilePrivilegesApproval/237</v>
      </c>
      <c r="Z1441" s="13"/>
      <c r="AT1441" s="1">
        <f t="shared" si="253"/>
        <v>0</v>
      </c>
      <c r="AU1441" s="1">
        <f t="shared" si="254"/>
        <v>0</v>
      </c>
      <c r="AV1441" s="1">
        <f t="shared" si="255"/>
        <v>0</v>
      </c>
      <c r="AW1441" s="1">
        <f t="shared" si="256"/>
        <v>0</v>
      </c>
      <c r="AX1441" s="1">
        <f t="shared" si="257"/>
        <v>0</v>
      </c>
    </row>
    <row r="1442" spans="1:50" s="1" customFormat="1" ht="24.95" customHeight="1" outlineLevel="3" x14ac:dyDescent="0.2">
      <c r="A1442" s="11"/>
      <c r="B1442" s="12">
        <v>490</v>
      </c>
      <c r="C1442" s="12">
        <v>840</v>
      </c>
      <c r="D1442" s="12">
        <v>27889</v>
      </c>
      <c r="E1442" s="13" t="s">
        <v>4698</v>
      </c>
      <c r="F1442" s="13" t="s">
        <v>4717</v>
      </c>
      <c r="G1442" s="13" t="s">
        <v>97</v>
      </c>
      <c r="H1442" s="13"/>
      <c r="I1442" s="12">
        <v>2023</v>
      </c>
      <c r="J1442" s="13" t="s">
        <v>4718</v>
      </c>
      <c r="K1442" s="12">
        <v>9785961486674</v>
      </c>
      <c r="L1442" s="13" t="s">
        <v>4719</v>
      </c>
      <c r="M1442" s="12">
        <v>132</v>
      </c>
      <c r="N1442" s="14">
        <v>0.16</v>
      </c>
      <c r="O1442" s="12">
        <v>130</v>
      </c>
      <c r="P1442" s="12">
        <v>200</v>
      </c>
      <c r="Q1442" s="12">
        <v>15</v>
      </c>
      <c r="R1442" s="13" t="s">
        <v>82</v>
      </c>
      <c r="S1442" s="13"/>
      <c r="T1442" s="15">
        <v>1000</v>
      </c>
      <c r="U1442" s="13" t="s">
        <v>44</v>
      </c>
      <c r="V1442" s="13" t="s">
        <v>64</v>
      </c>
      <c r="W1442" s="12">
        <v>10</v>
      </c>
      <c r="X1442" s="33" t="str">
        <f>HYPERLINK("https://www.alpinabook.ru/catalog/book-komando","ссылка на книгу")</f>
        <v>ссылка на книгу</v>
      </c>
      <c r="Y1442" s="34" t="str">
        <f>HYPERLINK("https://api-enni.alpina.ru/FilePrivilegesApproval/229","https://api-enni.alpina.ru/FilePrivilegesApproval/229")</f>
        <v>https://api-enni.alpina.ru/FilePrivilegesApproval/229</v>
      </c>
      <c r="Z1442" s="13"/>
      <c r="AT1442" s="1">
        <f t="shared" si="253"/>
        <v>0</v>
      </c>
      <c r="AU1442" s="1">
        <f t="shared" si="254"/>
        <v>0</v>
      </c>
      <c r="AV1442" s="1">
        <f t="shared" si="255"/>
        <v>0</v>
      </c>
      <c r="AW1442" s="1">
        <f t="shared" si="256"/>
        <v>0</v>
      </c>
      <c r="AX1442" s="1">
        <f t="shared" si="257"/>
        <v>0</v>
      </c>
    </row>
    <row r="1443" spans="1:50" s="1" customFormat="1" ht="24.95" customHeight="1" outlineLevel="3" x14ac:dyDescent="0.2">
      <c r="A1443" s="11"/>
      <c r="B1443" s="12">
        <v>430</v>
      </c>
      <c r="C1443" s="12">
        <v>640</v>
      </c>
      <c r="D1443" s="12">
        <v>12267</v>
      </c>
      <c r="E1443" s="13" t="s">
        <v>4720</v>
      </c>
      <c r="F1443" s="13" t="s">
        <v>4721</v>
      </c>
      <c r="G1443" s="13" t="s">
        <v>97</v>
      </c>
      <c r="H1443" s="13"/>
      <c r="I1443" s="12">
        <v>2025</v>
      </c>
      <c r="J1443" s="13" t="s">
        <v>4722</v>
      </c>
      <c r="K1443" s="12">
        <v>9785604232057</v>
      </c>
      <c r="L1443" s="13" t="s">
        <v>4723</v>
      </c>
      <c r="M1443" s="12">
        <v>130</v>
      </c>
      <c r="N1443" s="14">
        <v>0.26</v>
      </c>
      <c r="O1443" s="12">
        <v>153</v>
      </c>
      <c r="P1443" s="12">
        <v>216</v>
      </c>
      <c r="Q1443" s="12">
        <v>10</v>
      </c>
      <c r="R1443" s="13" t="s">
        <v>43</v>
      </c>
      <c r="S1443" s="13"/>
      <c r="T1443" s="15">
        <v>1000</v>
      </c>
      <c r="U1443" s="13" t="s">
        <v>52</v>
      </c>
      <c r="V1443" s="13" t="s">
        <v>59</v>
      </c>
      <c r="W1443" s="12">
        <v>10</v>
      </c>
      <c r="X1443" s="33" t="str">
        <f>HYPERLINK("https://www.alpinabook.ru/catalog/book-kultura-bezopasnosti-truda","ссылка на книгу")</f>
        <v>ссылка на книгу</v>
      </c>
      <c r="Y1443" s="34" t="str">
        <f>HYPERLINK("https://api-enni.alpina.ru/FilePrivilegesApproval/120","https://api-enni.alpina.ru/FilePrivilegesApproval/120")</f>
        <v>https://api-enni.alpina.ru/FilePrivilegesApproval/120</v>
      </c>
      <c r="Z1443" s="13"/>
      <c r="AT1443" s="1">
        <f t="shared" si="253"/>
        <v>0</v>
      </c>
      <c r="AU1443" s="1">
        <f t="shared" si="254"/>
        <v>0</v>
      </c>
      <c r="AV1443" s="1">
        <f t="shared" si="255"/>
        <v>0</v>
      </c>
      <c r="AW1443" s="1">
        <f t="shared" si="256"/>
        <v>0</v>
      </c>
      <c r="AX1443" s="1">
        <f t="shared" si="257"/>
        <v>0</v>
      </c>
    </row>
    <row r="1444" spans="1:50" s="1" customFormat="1" ht="24.95" customHeight="1" outlineLevel="3" x14ac:dyDescent="0.2">
      <c r="A1444" s="11"/>
      <c r="B1444" s="12">
        <v>690</v>
      </c>
      <c r="C1444" s="12">
        <v>990</v>
      </c>
      <c r="D1444" s="12">
        <v>24520</v>
      </c>
      <c r="E1444" s="13" t="s">
        <v>510</v>
      </c>
      <c r="F1444" s="13" t="s">
        <v>4724</v>
      </c>
      <c r="G1444" s="13" t="s">
        <v>56</v>
      </c>
      <c r="H1444" s="13"/>
      <c r="I1444" s="12">
        <v>2025</v>
      </c>
      <c r="J1444" s="13" t="s">
        <v>4725</v>
      </c>
      <c r="K1444" s="12">
        <v>9785961475753</v>
      </c>
      <c r="L1444" s="13" t="s">
        <v>4726</v>
      </c>
      <c r="M1444" s="12">
        <v>288</v>
      </c>
      <c r="N1444" s="14">
        <v>0.43</v>
      </c>
      <c r="O1444" s="12">
        <v>160</v>
      </c>
      <c r="P1444" s="12">
        <v>220</v>
      </c>
      <c r="Q1444" s="12">
        <v>6</v>
      </c>
      <c r="R1444" s="13" t="s">
        <v>43</v>
      </c>
      <c r="S1444" s="13"/>
      <c r="T1444" s="15">
        <v>1000</v>
      </c>
      <c r="U1444" s="13" t="s">
        <v>52</v>
      </c>
      <c r="V1444" s="13" t="s">
        <v>64</v>
      </c>
      <c r="W1444" s="12">
        <v>10</v>
      </c>
      <c r="X1444" s="33" t="str">
        <f>HYPERLINK("https://www.alpinabook.ru/catalog/book-motivatsiya-na-100","ссылка на книгу")</f>
        <v>ссылка на книгу</v>
      </c>
      <c r="Y1444" s="34" t="str">
        <f>HYPERLINK("https://api-enni.alpina.ru/FilePrivilegesApproval/153","https://api-enni.alpina.ru/FilePrivilegesApproval/153")</f>
        <v>https://api-enni.alpina.ru/FilePrivilegesApproval/153</v>
      </c>
      <c r="Z1444" s="13"/>
      <c r="AT1444" s="1">
        <f t="shared" si="253"/>
        <v>0</v>
      </c>
      <c r="AU1444" s="1">
        <f t="shared" si="254"/>
        <v>0</v>
      </c>
      <c r="AV1444" s="1">
        <f t="shared" si="255"/>
        <v>0</v>
      </c>
      <c r="AW1444" s="1">
        <f t="shared" si="256"/>
        <v>0</v>
      </c>
      <c r="AX1444" s="1">
        <f t="shared" si="257"/>
        <v>0</v>
      </c>
    </row>
    <row r="1445" spans="1:50" s="1" customFormat="1" ht="24.95" customHeight="1" outlineLevel="3" x14ac:dyDescent="0.2">
      <c r="A1445" s="11"/>
      <c r="B1445" s="12">
        <v>530</v>
      </c>
      <c r="C1445" s="12">
        <v>790</v>
      </c>
      <c r="D1445" s="12">
        <v>27543</v>
      </c>
      <c r="E1445" s="13" t="s">
        <v>510</v>
      </c>
      <c r="F1445" s="13" t="s">
        <v>646</v>
      </c>
      <c r="G1445" s="13" t="s">
        <v>56</v>
      </c>
      <c r="H1445" s="13"/>
      <c r="I1445" s="12">
        <v>2025</v>
      </c>
      <c r="J1445" s="13" t="s">
        <v>647</v>
      </c>
      <c r="K1445" s="12">
        <v>9785961485684</v>
      </c>
      <c r="L1445" s="13" t="s">
        <v>648</v>
      </c>
      <c r="M1445" s="12">
        <v>148</v>
      </c>
      <c r="N1445" s="14">
        <v>0.2</v>
      </c>
      <c r="O1445" s="12">
        <v>150</v>
      </c>
      <c r="P1445" s="12">
        <v>210</v>
      </c>
      <c r="Q1445" s="12">
        <v>20</v>
      </c>
      <c r="R1445" s="13" t="s">
        <v>43</v>
      </c>
      <c r="S1445" s="13"/>
      <c r="T1445" s="15">
        <v>1000</v>
      </c>
      <c r="U1445" s="13" t="s">
        <v>44</v>
      </c>
      <c r="V1445" s="13" t="s">
        <v>64</v>
      </c>
      <c r="W1445" s="12">
        <v>10</v>
      </c>
      <c r="X1445" s="33" t="str">
        <f>HYPERLINK("https://www.alpinabook.ru/catalog/book-poisk-i-otsenka-lineynogo-personala","ссылка на книгу")</f>
        <v>ссылка на книгу</v>
      </c>
      <c r="Y1445" s="34" t="str">
        <f>HYPERLINK("https://api-enni.alpina.ru/FilePrivilegesApproval/202","https://api-enni.alpina.ru/FilePrivilegesApproval/202")</f>
        <v>https://api-enni.alpina.ru/FilePrivilegesApproval/202</v>
      </c>
      <c r="Z1445" s="13" t="s">
        <v>77</v>
      </c>
      <c r="AT1445" s="1">
        <f t="shared" si="253"/>
        <v>0</v>
      </c>
      <c r="AU1445" s="1">
        <f t="shared" si="254"/>
        <v>0</v>
      </c>
      <c r="AV1445" s="1">
        <f t="shared" si="255"/>
        <v>0</v>
      </c>
      <c r="AW1445" s="1">
        <f t="shared" si="256"/>
        <v>0</v>
      </c>
      <c r="AX1445" s="1">
        <f t="shared" si="257"/>
        <v>0</v>
      </c>
    </row>
    <row r="1446" spans="1:50" s="1" customFormat="1" ht="24.95" customHeight="1" outlineLevel="3" x14ac:dyDescent="0.2">
      <c r="A1446" s="11"/>
      <c r="B1446" s="12">
        <v>690</v>
      </c>
      <c r="C1446" s="12">
        <v>990</v>
      </c>
      <c r="D1446" s="12">
        <v>24182</v>
      </c>
      <c r="E1446" s="13" t="s">
        <v>662</v>
      </c>
      <c r="F1446" s="13" t="s">
        <v>663</v>
      </c>
      <c r="G1446" s="13" t="s">
        <v>56</v>
      </c>
      <c r="H1446" s="13" t="s">
        <v>40</v>
      </c>
      <c r="I1446" s="12">
        <v>2025</v>
      </c>
      <c r="J1446" s="13" t="s">
        <v>664</v>
      </c>
      <c r="K1446" s="12">
        <v>9785961478624</v>
      </c>
      <c r="L1446" s="13" t="s">
        <v>665</v>
      </c>
      <c r="M1446" s="12">
        <v>492</v>
      </c>
      <c r="N1446" s="14">
        <v>0.71</v>
      </c>
      <c r="O1446" s="12">
        <v>150</v>
      </c>
      <c r="P1446" s="12">
        <v>220</v>
      </c>
      <c r="Q1446" s="12">
        <v>4</v>
      </c>
      <c r="R1446" s="13" t="s">
        <v>43</v>
      </c>
      <c r="S1446" s="13"/>
      <c r="T1446" s="15">
        <v>1000</v>
      </c>
      <c r="U1446" s="13" t="s">
        <v>52</v>
      </c>
      <c r="V1446" s="13" t="s">
        <v>59</v>
      </c>
      <c r="W1446" s="12">
        <v>10</v>
      </c>
      <c r="X1446" s="33" t="str">
        <f>HYPERLINK("https://www.alpinabook.ru/catalog/book-pochemu-my-takie-na-rabote","ссылка на книгу")</f>
        <v>ссылка на книгу</v>
      </c>
      <c r="Y1446" s="34" t="str">
        <f>HYPERLINK("https://api-enni.alpina.ru/FilePrivilegesApproval/177","https://api-enni.alpina.ru/FilePrivilegesApproval/177")</f>
        <v>https://api-enni.alpina.ru/FilePrivilegesApproval/177</v>
      </c>
      <c r="Z1446" s="13" t="s">
        <v>666</v>
      </c>
      <c r="AT1446" s="1">
        <f t="shared" si="253"/>
        <v>0</v>
      </c>
      <c r="AU1446" s="1">
        <f t="shared" si="254"/>
        <v>0</v>
      </c>
      <c r="AV1446" s="1">
        <f t="shared" si="255"/>
        <v>0</v>
      </c>
      <c r="AW1446" s="1">
        <f t="shared" si="256"/>
        <v>0</v>
      </c>
      <c r="AX1446" s="1">
        <f t="shared" si="257"/>
        <v>0</v>
      </c>
    </row>
    <row r="1447" spans="1:50" s="1" customFormat="1" ht="24.95" customHeight="1" outlineLevel="3" x14ac:dyDescent="0.2">
      <c r="A1447" s="26"/>
      <c r="B1447" s="27">
        <v>290</v>
      </c>
      <c r="C1447" s="27">
        <v>440</v>
      </c>
      <c r="D1447" s="27">
        <v>27884</v>
      </c>
      <c r="E1447" s="29" t="s">
        <v>4727</v>
      </c>
      <c r="F1447" s="29" t="s">
        <v>4728</v>
      </c>
      <c r="G1447" s="29" t="s">
        <v>56</v>
      </c>
      <c r="H1447" s="29"/>
      <c r="I1447" s="27">
        <v>2024</v>
      </c>
      <c r="J1447" s="29" t="s">
        <v>4729</v>
      </c>
      <c r="K1447" s="27">
        <v>9785961486643</v>
      </c>
      <c r="L1447" s="29" t="s">
        <v>4730</v>
      </c>
      <c r="M1447" s="27">
        <v>200</v>
      </c>
      <c r="N1447" s="30">
        <v>0.14000000000000001</v>
      </c>
      <c r="O1447" s="27">
        <v>120</v>
      </c>
      <c r="P1447" s="27">
        <v>170</v>
      </c>
      <c r="Q1447" s="27">
        <v>28</v>
      </c>
      <c r="R1447" s="29" t="s">
        <v>75</v>
      </c>
      <c r="S1447" s="29" t="s">
        <v>253</v>
      </c>
      <c r="T1447" s="28">
        <v>2000</v>
      </c>
      <c r="U1447" s="29" t="s">
        <v>44</v>
      </c>
      <c r="V1447" s="29" t="s">
        <v>59</v>
      </c>
      <c r="W1447" s="27">
        <v>10</v>
      </c>
      <c r="X1447" s="37" t="str">
        <f>HYPERLINK("https://www.alpinabook.ru/catalog/book-pravila-komandy","ссылка на книгу")</f>
        <v>ссылка на книгу</v>
      </c>
      <c r="Y1447" s="38" t="str">
        <f>HYPERLINK("https://api-enni.alpina.ru/FilePrivilegesApproval/221","https://api-enni.alpina.ru/FilePrivilegesApproval/221")</f>
        <v>https://api-enni.alpina.ru/FilePrivilegesApproval/221</v>
      </c>
      <c r="Z1447" s="29"/>
      <c r="AT1447" s="1">
        <f t="shared" si="253"/>
        <v>0</v>
      </c>
      <c r="AU1447" s="1">
        <f t="shared" si="254"/>
        <v>0</v>
      </c>
      <c r="AV1447" s="1">
        <f t="shared" si="255"/>
        <v>0</v>
      </c>
      <c r="AW1447" s="1">
        <f t="shared" si="256"/>
        <v>0</v>
      </c>
      <c r="AX1447" s="1">
        <f t="shared" si="257"/>
        <v>0</v>
      </c>
    </row>
    <row r="1448" spans="1:50" s="1" customFormat="1" ht="24.95" customHeight="1" outlineLevel="3" x14ac:dyDescent="0.2">
      <c r="A1448" s="26"/>
      <c r="B1448" s="27">
        <v>690</v>
      </c>
      <c r="C1448" s="27">
        <v>990</v>
      </c>
      <c r="D1448" s="27">
        <v>12491</v>
      </c>
      <c r="E1448" s="29" t="s">
        <v>4731</v>
      </c>
      <c r="F1448" s="29" t="s">
        <v>4732</v>
      </c>
      <c r="G1448" s="29" t="s">
        <v>97</v>
      </c>
      <c r="H1448" s="29" t="s">
        <v>40</v>
      </c>
      <c r="I1448" s="27">
        <v>2023</v>
      </c>
      <c r="J1448" s="29" t="s">
        <v>4733</v>
      </c>
      <c r="K1448" s="27">
        <v>9785907274020</v>
      </c>
      <c r="L1448" s="29" t="s">
        <v>4734</v>
      </c>
      <c r="M1448" s="27">
        <v>204</v>
      </c>
      <c r="N1448" s="30">
        <v>0.45</v>
      </c>
      <c r="O1448" s="27">
        <v>171</v>
      </c>
      <c r="P1448" s="27">
        <v>241</v>
      </c>
      <c r="Q1448" s="27">
        <v>8</v>
      </c>
      <c r="R1448" s="29" t="s">
        <v>94</v>
      </c>
      <c r="S1448" s="29"/>
      <c r="T1448" s="28">
        <v>1000</v>
      </c>
      <c r="U1448" s="29" t="s">
        <v>52</v>
      </c>
      <c r="V1448" s="29" t="s">
        <v>59</v>
      </c>
      <c r="W1448" s="27">
        <v>10</v>
      </c>
      <c r="X1448" s="37" t="str">
        <f>HYPERLINK("https://www.alpinabook.ru/catalog/book-rabota-bez-strakha","ссылка на книгу")</f>
        <v>ссылка на книгу</v>
      </c>
      <c r="Y1448" s="38" t="str">
        <f>HYPERLINK("https://api-enni.alpina.ru/FilePrivilegesApproval/114","https://api-enni.alpina.ru/FilePrivilegesApproval/114")</f>
        <v>https://api-enni.alpina.ru/FilePrivilegesApproval/114</v>
      </c>
      <c r="Z1448" s="29" t="s">
        <v>954</v>
      </c>
      <c r="AT1448" s="1">
        <f t="shared" si="253"/>
        <v>0</v>
      </c>
      <c r="AU1448" s="1">
        <f t="shared" si="254"/>
        <v>0</v>
      </c>
      <c r="AV1448" s="1">
        <f t="shared" si="255"/>
        <v>0</v>
      </c>
      <c r="AW1448" s="1">
        <f t="shared" si="256"/>
        <v>0</v>
      </c>
      <c r="AX1448" s="1">
        <f t="shared" si="257"/>
        <v>0</v>
      </c>
    </row>
    <row r="1449" spans="1:50" s="1" customFormat="1" ht="24.95" customHeight="1" outlineLevel="3" x14ac:dyDescent="0.2">
      <c r="A1449" s="11"/>
      <c r="B1449" s="15">
        <v>1690</v>
      </c>
      <c r="C1449" s="15">
        <v>2190</v>
      </c>
      <c r="D1449" s="12">
        <v>8111</v>
      </c>
      <c r="E1449" s="13" t="s">
        <v>4735</v>
      </c>
      <c r="F1449" s="13" t="s">
        <v>4736</v>
      </c>
      <c r="G1449" s="13" t="s">
        <v>56</v>
      </c>
      <c r="H1449" s="13" t="s">
        <v>40</v>
      </c>
      <c r="I1449" s="12">
        <v>2025</v>
      </c>
      <c r="J1449" s="13" t="s">
        <v>4737</v>
      </c>
      <c r="K1449" s="12">
        <v>9785961465860</v>
      </c>
      <c r="L1449" s="13" t="s">
        <v>4738</v>
      </c>
      <c r="M1449" s="12">
        <v>516</v>
      </c>
      <c r="N1449" s="14">
        <v>0.95</v>
      </c>
      <c r="O1449" s="12">
        <v>171</v>
      </c>
      <c r="P1449" s="12">
        <v>242</v>
      </c>
      <c r="Q1449" s="12">
        <v>5</v>
      </c>
      <c r="R1449" s="13" t="s">
        <v>94</v>
      </c>
      <c r="S1449" s="13"/>
      <c r="T1449" s="15">
        <v>1500</v>
      </c>
      <c r="U1449" s="13" t="s">
        <v>52</v>
      </c>
      <c r="V1449" s="13" t="s">
        <v>64</v>
      </c>
      <c r="W1449" s="12">
        <v>10</v>
      </c>
      <c r="X1449" s="33" t="str">
        <f>HYPERLINK("https://www.alpinabook.ru/catalog/book-sekrety-fasilitatsii","ссылка на книгу")</f>
        <v>ссылка на книгу</v>
      </c>
      <c r="Y1449" s="34" t="str">
        <f>HYPERLINK("https://api-enni.alpina.ru/FilePrivilegesApproval/152","https://api-enni.alpina.ru/FilePrivilegesApproval/152")</f>
        <v>https://api-enni.alpina.ru/FilePrivilegesApproval/152</v>
      </c>
      <c r="Z1449" s="13"/>
      <c r="AT1449" s="1">
        <f t="shared" si="253"/>
        <v>0</v>
      </c>
      <c r="AU1449" s="1">
        <f t="shared" si="254"/>
        <v>0</v>
      </c>
      <c r="AV1449" s="1">
        <f t="shared" si="255"/>
        <v>0</v>
      </c>
      <c r="AW1449" s="1">
        <f t="shared" si="256"/>
        <v>0</v>
      </c>
      <c r="AX1449" s="1">
        <f t="shared" si="257"/>
        <v>0</v>
      </c>
    </row>
    <row r="1450" spans="1:50" s="1" customFormat="1" ht="24.95" customHeight="1" outlineLevel="3" x14ac:dyDescent="0.2">
      <c r="A1450" s="26"/>
      <c r="B1450" s="27">
        <v>640</v>
      </c>
      <c r="C1450" s="27">
        <v>940</v>
      </c>
      <c r="D1450" s="27">
        <v>4700</v>
      </c>
      <c r="E1450" s="29" t="s">
        <v>4739</v>
      </c>
      <c r="F1450" s="29" t="s">
        <v>4740</v>
      </c>
      <c r="G1450" s="29" t="s">
        <v>56</v>
      </c>
      <c r="H1450" s="29"/>
      <c r="I1450" s="27">
        <v>2024</v>
      </c>
      <c r="J1450" s="29" t="s">
        <v>4741</v>
      </c>
      <c r="K1450" s="27">
        <v>9785961469059</v>
      </c>
      <c r="L1450" s="29" t="s">
        <v>4742</v>
      </c>
      <c r="M1450" s="27">
        <v>218</v>
      </c>
      <c r="N1450" s="30">
        <v>0.39</v>
      </c>
      <c r="O1450" s="27">
        <v>150</v>
      </c>
      <c r="P1450" s="27">
        <v>220</v>
      </c>
      <c r="Q1450" s="27">
        <v>6</v>
      </c>
      <c r="R1450" s="29" t="s">
        <v>43</v>
      </c>
      <c r="S1450" s="29"/>
      <c r="T1450" s="28">
        <v>1000</v>
      </c>
      <c r="U1450" s="29" t="s">
        <v>52</v>
      </c>
      <c r="V1450" s="29" t="s">
        <v>64</v>
      </c>
      <c r="W1450" s="27">
        <v>10</v>
      </c>
      <c r="X1450" s="37" t="str">
        <f>HYPERLINK("https://www.alpinabook.ru/catalog/book-sistema-voznagrazhdeniya","ссылка на книгу")</f>
        <v>ссылка на книгу</v>
      </c>
      <c r="Y1450" s="38" t="str">
        <f>HYPERLINK("https://api-enni.alpina.ru/FilePrivilegesApproval/2","https://api-enni.alpina.ru/FilePrivilegesApproval/2")</f>
        <v>https://api-enni.alpina.ru/FilePrivilegesApproval/2</v>
      </c>
      <c r="Z1450" s="29"/>
      <c r="AT1450" s="1">
        <f t="shared" si="253"/>
        <v>0</v>
      </c>
      <c r="AU1450" s="1">
        <f t="shared" si="254"/>
        <v>0</v>
      </c>
      <c r="AV1450" s="1">
        <f t="shared" si="255"/>
        <v>0</v>
      </c>
      <c r="AW1450" s="1">
        <f t="shared" si="256"/>
        <v>0</v>
      </c>
      <c r="AX1450" s="1">
        <f t="shared" si="257"/>
        <v>0</v>
      </c>
    </row>
    <row r="1451" spans="1:50" s="1" customFormat="1" ht="24.95" customHeight="1" outlineLevel="3" x14ac:dyDescent="0.2">
      <c r="A1451" s="11"/>
      <c r="B1451" s="12">
        <v>690</v>
      </c>
      <c r="C1451" s="12">
        <v>990</v>
      </c>
      <c r="D1451" s="12">
        <v>29465</v>
      </c>
      <c r="E1451" s="13" t="s">
        <v>4743</v>
      </c>
      <c r="F1451" s="13" t="s">
        <v>4744</v>
      </c>
      <c r="G1451" s="13" t="s">
        <v>97</v>
      </c>
      <c r="H1451" s="13"/>
      <c r="I1451" s="12">
        <v>2024</v>
      </c>
      <c r="J1451" s="13" t="s">
        <v>4745</v>
      </c>
      <c r="K1451" s="12">
        <v>9785206002751</v>
      </c>
      <c r="L1451" s="13" t="s">
        <v>4746</v>
      </c>
      <c r="M1451" s="12">
        <v>180</v>
      </c>
      <c r="N1451" s="14">
        <v>0.32</v>
      </c>
      <c r="O1451" s="12">
        <v>150</v>
      </c>
      <c r="P1451" s="12">
        <v>220</v>
      </c>
      <c r="Q1451" s="12">
        <v>8</v>
      </c>
      <c r="R1451" s="13" t="s">
        <v>43</v>
      </c>
      <c r="S1451" s="13"/>
      <c r="T1451" s="15">
        <v>1005</v>
      </c>
      <c r="U1451" s="13" t="s">
        <v>52</v>
      </c>
      <c r="V1451" s="13" t="s">
        <v>45</v>
      </c>
      <c r="W1451" s="12">
        <v>10</v>
      </c>
      <c r="X1451" s="33" t="str">
        <f>HYPERLINK("https://www.alpinabook.ru/catalog/book-stop-kadry","ссылка на книгу")</f>
        <v>ссылка на книгу</v>
      </c>
      <c r="Y1451" s="34" t="str">
        <f>HYPERLINK("https://api-enni.alpina.ru/FilePrivilegesApproval/372","https://api-enni.alpina.ru/FilePrivilegesApproval/372")</f>
        <v>https://api-enni.alpina.ru/FilePrivilegesApproval/372</v>
      </c>
      <c r="Z1451" s="13"/>
      <c r="AT1451" s="1">
        <f t="shared" si="253"/>
        <v>0</v>
      </c>
      <c r="AU1451" s="1">
        <f t="shared" si="254"/>
        <v>0</v>
      </c>
      <c r="AV1451" s="1">
        <f t="shared" si="255"/>
        <v>0</v>
      </c>
      <c r="AW1451" s="1">
        <f t="shared" si="256"/>
        <v>0</v>
      </c>
      <c r="AX1451" s="1">
        <f t="shared" si="257"/>
        <v>0</v>
      </c>
    </row>
    <row r="1452" spans="1:50" s="1" customFormat="1" ht="24.95" customHeight="1" outlineLevel="3" x14ac:dyDescent="0.2">
      <c r="A1452" s="11"/>
      <c r="B1452" s="12">
        <v>590</v>
      </c>
      <c r="C1452" s="12">
        <v>840</v>
      </c>
      <c r="D1452" s="12">
        <v>30713</v>
      </c>
      <c r="E1452" s="13" t="s">
        <v>4747</v>
      </c>
      <c r="F1452" s="13" t="s">
        <v>4748</v>
      </c>
      <c r="G1452" s="13" t="s">
        <v>97</v>
      </c>
      <c r="H1452" s="13"/>
      <c r="I1452" s="12">
        <v>2024</v>
      </c>
      <c r="J1452" s="13" t="s">
        <v>4749</v>
      </c>
      <c r="K1452" s="12">
        <v>9785206003352</v>
      </c>
      <c r="L1452" s="13" t="s">
        <v>4750</v>
      </c>
      <c r="M1452" s="12">
        <v>288</v>
      </c>
      <c r="N1452" s="14">
        <v>0.57999999999999996</v>
      </c>
      <c r="O1452" s="12">
        <v>170</v>
      </c>
      <c r="P1452" s="12">
        <v>240</v>
      </c>
      <c r="Q1452" s="12">
        <v>6</v>
      </c>
      <c r="R1452" s="13" t="s">
        <v>94</v>
      </c>
      <c r="S1452" s="13"/>
      <c r="T1452" s="15">
        <v>2005</v>
      </c>
      <c r="U1452" s="13" t="s">
        <v>52</v>
      </c>
      <c r="V1452" s="13" t="s">
        <v>45</v>
      </c>
      <c r="W1452" s="12">
        <v>10</v>
      </c>
      <c r="X1452" s="33" t="str">
        <f>HYPERLINK("https://www.alpinabook.ru/catalog/book-timbilding-ne-rabotaet","ссылка на книгу")</f>
        <v>ссылка на книгу</v>
      </c>
      <c r="Y1452" s="34" t="str">
        <f>HYPERLINK("https://api-enni.alpina.ru/FilePrivilegesApproval/529","https://api-enni.alpina.ru/FilePrivilegesApproval/529")</f>
        <v>https://api-enni.alpina.ru/FilePrivilegesApproval/529</v>
      </c>
      <c r="Z1452" s="13"/>
      <c r="AT1452" s="1">
        <f t="shared" si="253"/>
        <v>0</v>
      </c>
      <c r="AU1452" s="1">
        <f t="shared" si="254"/>
        <v>0</v>
      </c>
      <c r="AV1452" s="1">
        <f t="shared" si="255"/>
        <v>0</v>
      </c>
      <c r="AW1452" s="1">
        <f t="shared" si="256"/>
        <v>0</v>
      </c>
      <c r="AX1452" s="1">
        <f t="shared" si="257"/>
        <v>0</v>
      </c>
    </row>
    <row r="1453" spans="1:50" s="1" customFormat="1" ht="24.95" customHeight="1" outlineLevel="3" x14ac:dyDescent="0.2">
      <c r="A1453" s="11"/>
      <c r="B1453" s="12">
        <v>540</v>
      </c>
      <c r="C1453" s="12">
        <v>790</v>
      </c>
      <c r="D1453" s="12">
        <v>4929</v>
      </c>
      <c r="E1453" s="13" t="s">
        <v>780</v>
      </c>
      <c r="F1453" s="13" t="s">
        <v>781</v>
      </c>
      <c r="G1453" s="13" t="s">
        <v>97</v>
      </c>
      <c r="H1453" s="13"/>
      <c r="I1453" s="12">
        <v>2025</v>
      </c>
      <c r="J1453" s="13" t="s">
        <v>782</v>
      </c>
      <c r="K1453" s="12">
        <v>9785907394094</v>
      </c>
      <c r="L1453" s="13" t="s">
        <v>783</v>
      </c>
      <c r="M1453" s="12">
        <v>250</v>
      </c>
      <c r="N1453" s="14">
        <v>0.42</v>
      </c>
      <c r="O1453" s="12">
        <v>153</v>
      </c>
      <c r="P1453" s="12">
        <v>216</v>
      </c>
      <c r="Q1453" s="12">
        <v>10</v>
      </c>
      <c r="R1453" s="13" t="s">
        <v>43</v>
      </c>
      <c r="S1453" s="13"/>
      <c r="T1453" s="15">
        <v>1000</v>
      </c>
      <c r="U1453" s="13" t="s">
        <v>52</v>
      </c>
      <c r="V1453" s="13" t="s">
        <v>64</v>
      </c>
      <c r="W1453" s="12">
        <v>10</v>
      </c>
      <c r="X1453" s="33" t="str">
        <f>HYPERLINK("https://www.alpinabook.ru/catalog/book-trening-dlya-trenerov-na-100","ссылка на книгу")</f>
        <v>ссылка на книгу</v>
      </c>
      <c r="Y1453" s="34" t="str">
        <f>HYPERLINK("https://api-enni.alpina.ru/FilePrivilegesApproval/129","https://api-enni.alpina.ru/FilePrivilegesApproval/129")</f>
        <v>https://api-enni.alpina.ru/FilePrivilegesApproval/129</v>
      </c>
      <c r="Z1453" s="13" t="s">
        <v>387</v>
      </c>
      <c r="AT1453" s="1">
        <f t="shared" si="253"/>
        <v>0</v>
      </c>
      <c r="AU1453" s="1">
        <f t="shared" si="254"/>
        <v>0</v>
      </c>
      <c r="AV1453" s="1">
        <f t="shared" si="255"/>
        <v>0</v>
      </c>
      <c r="AW1453" s="1">
        <f t="shared" si="256"/>
        <v>0</v>
      </c>
      <c r="AX1453" s="1">
        <f t="shared" si="257"/>
        <v>0</v>
      </c>
    </row>
    <row r="1454" spans="1:50" s="1" customFormat="1" ht="24.95" customHeight="1" outlineLevel="3" x14ac:dyDescent="0.2">
      <c r="A1454" s="11"/>
      <c r="B1454" s="15">
        <v>1090</v>
      </c>
      <c r="C1454" s="15">
        <v>1090</v>
      </c>
      <c r="D1454" s="12">
        <v>23717</v>
      </c>
      <c r="E1454" s="13" t="s">
        <v>4751</v>
      </c>
      <c r="F1454" s="13" t="s">
        <v>4752</v>
      </c>
      <c r="G1454" s="13" t="s">
        <v>97</v>
      </c>
      <c r="H1454" s="13" t="s">
        <v>40</v>
      </c>
      <c r="I1454" s="12">
        <v>2022</v>
      </c>
      <c r="J1454" s="13" t="s">
        <v>4753</v>
      </c>
      <c r="K1454" s="12">
        <v>9785604784235</v>
      </c>
      <c r="L1454" s="13" t="s">
        <v>4754</v>
      </c>
      <c r="M1454" s="12">
        <v>376</v>
      </c>
      <c r="N1454" s="14">
        <v>0.71</v>
      </c>
      <c r="O1454" s="12">
        <v>168</v>
      </c>
      <c r="P1454" s="12">
        <v>241</v>
      </c>
      <c r="Q1454" s="12">
        <v>6</v>
      </c>
      <c r="R1454" s="13" t="s">
        <v>94</v>
      </c>
      <c r="S1454" s="13"/>
      <c r="T1454" s="15">
        <v>2700</v>
      </c>
      <c r="U1454" s="13" t="s">
        <v>52</v>
      </c>
      <c r="V1454" s="13" t="s">
        <v>59</v>
      </c>
      <c r="W1454" s="12">
        <v>10</v>
      </c>
      <c r="X1454" s="33" t="str">
        <f>HYPERLINK("https://www.alpinabook.ru/catalog/book-tri-puti-v-stranu-oz","ссылка на книгу")</f>
        <v>ссылка на книгу</v>
      </c>
      <c r="Y1454" s="34" t="str">
        <f>HYPERLINK("https://api-enni.alpina.ru/FilePrivilegesApproval/237","https://api-enni.alpina.ru/FilePrivilegesApproval/237")</f>
        <v>https://api-enni.alpina.ru/FilePrivilegesApproval/237</v>
      </c>
      <c r="Z1454" s="13"/>
      <c r="AT1454" s="1">
        <f t="shared" si="253"/>
        <v>0</v>
      </c>
      <c r="AU1454" s="1">
        <f t="shared" si="254"/>
        <v>0</v>
      </c>
      <c r="AV1454" s="1">
        <f t="shared" si="255"/>
        <v>0</v>
      </c>
      <c r="AW1454" s="1">
        <f t="shared" si="256"/>
        <v>0</v>
      </c>
      <c r="AX1454" s="1">
        <f t="shared" si="257"/>
        <v>0</v>
      </c>
    </row>
    <row r="1455" spans="1:50" s="1" customFormat="1" ht="24.95" customHeight="1" outlineLevel="3" x14ac:dyDescent="0.2">
      <c r="A1455" s="11"/>
      <c r="B1455" s="15">
        <v>1190</v>
      </c>
      <c r="C1455" s="15">
        <v>1690</v>
      </c>
      <c r="D1455" s="12">
        <v>29157</v>
      </c>
      <c r="E1455" s="13" t="s">
        <v>4755</v>
      </c>
      <c r="F1455" s="13" t="s">
        <v>4756</v>
      </c>
      <c r="G1455" s="13" t="s">
        <v>97</v>
      </c>
      <c r="H1455" s="13"/>
      <c r="I1455" s="12">
        <v>2024</v>
      </c>
      <c r="J1455" s="13" t="s">
        <v>4757</v>
      </c>
      <c r="K1455" s="12">
        <v>9785206002577</v>
      </c>
      <c r="L1455" s="13" t="s">
        <v>4758</v>
      </c>
      <c r="M1455" s="12">
        <v>464</v>
      </c>
      <c r="N1455" s="14">
        <v>0.65</v>
      </c>
      <c r="O1455" s="12">
        <v>150</v>
      </c>
      <c r="P1455" s="12">
        <v>220</v>
      </c>
      <c r="Q1455" s="12">
        <v>6</v>
      </c>
      <c r="R1455" s="13" t="s">
        <v>43</v>
      </c>
      <c r="S1455" s="13"/>
      <c r="T1455" s="15">
        <v>1000</v>
      </c>
      <c r="U1455" s="13" t="s">
        <v>52</v>
      </c>
      <c r="V1455" s="13" t="s">
        <v>59</v>
      </c>
      <c r="W1455" s="12">
        <v>20</v>
      </c>
      <c r="X1455" s="33" t="str">
        <f>HYPERLINK("https://www.alpinabook.ru/catalog/book-trudovye-budni-ot-vyzhivaniya-k-vovlechennosti","ссылка на книгу")</f>
        <v>ссылка на книгу</v>
      </c>
      <c r="Y1455" s="34" t="str">
        <f>HYPERLINK("https://api-enni.alpina.ru/FilePrivilegesApproval/394","https://api-enni.alpina.ru/FilePrivilegesApproval/394")</f>
        <v>https://api-enni.alpina.ru/FilePrivilegesApproval/394</v>
      </c>
      <c r="Z1455" s="13"/>
      <c r="AT1455" s="1">
        <f t="shared" si="253"/>
        <v>0</v>
      </c>
      <c r="AU1455" s="1">
        <f t="shared" si="254"/>
        <v>0</v>
      </c>
      <c r="AV1455" s="1">
        <f t="shared" si="255"/>
        <v>0</v>
      </c>
      <c r="AW1455" s="1">
        <f t="shared" si="256"/>
        <v>0</v>
      </c>
      <c r="AX1455" s="1">
        <f t="shared" si="257"/>
        <v>0</v>
      </c>
    </row>
    <row r="1456" spans="1:50" s="1" customFormat="1" ht="24.95" customHeight="1" outlineLevel="3" x14ac:dyDescent="0.2">
      <c r="A1456" s="11"/>
      <c r="B1456" s="12">
        <v>650</v>
      </c>
      <c r="C1456" s="12">
        <v>940</v>
      </c>
      <c r="D1456" s="12">
        <v>8592</v>
      </c>
      <c r="E1456" s="13" t="s">
        <v>4759</v>
      </c>
      <c r="F1456" s="13" t="s">
        <v>4760</v>
      </c>
      <c r="G1456" s="13" t="s">
        <v>97</v>
      </c>
      <c r="H1456" s="13" t="s">
        <v>40</v>
      </c>
      <c r="I1456" s="12">
        <v>2025</v>
      </c>
      <c r="J1456" s="13" t="s">
        <v>4761</v>
      </c>
      <c r="K1456" s="12">
        <v>9785907470064</v>
      </c>
      <c r="L1456" s="13" t="s">
        <v>4762</v>
      </c>
      <c r="M1456" s="12">
        <v>248</v>
      </c>
      <c r="N1456" s="14">
        <v>0.41</v>
      </c>
      <c r="O1456" s="12">
        <v>153</v>
      </c>
      <c r="P1456" s="12">
        <v>216</v>
      </c>
      <c r="Q1456" s="12">
        <v>6</v>
      </c>
      <c r="R1456" s="13" t="s">
        <v>43</v>
      </c>
      <c r="S1456" s="13"/>
      <c r="T1456" s="15">
        <v>1000</v>
      </c>
      <c r="U1456" s="13" t="s">
        <v>52</v>
      </c>
      <c r="V1456" s="13" t="s">
        <v>64</v>
      </c>
      <c r="W1456" s="12">
        <v>10</v>
      </c>
      <c r="X1456" s="33" t="str">
        <f>HYPERLINK("https://www.alpinabook.ru/catalog/book-upravlenie-rezultativnostyu-sistema-ocenki","ссылка на книгу")</f>
        <v>ссылка на книгу</v>
      </c>
      <c r="Y1456" s="34" t="str">
        <f>HYPERLINK("https://api-enni.alpina.ru/FilePrivilegesApproval/154","https://api-enni.alpina.ru/FilePrivilegesApproval/154")</f>
        <v>https://api-enni.alpina.ru/FilePrivilegesApproval/154</v>
      </c>
      <c r="Z1456" s="13"/>
      <c r="AT1456" s="1">
        <f t="shared" si="253"/>
        <v>0</v>
      </c>
      <c r="AU1456" s="1">
        <f t="shared" si="254"/>
        <v>0</v>
      </c>
      <c r="AV1456" s="1">
        <f t="shared" si="255"/>
        <v>0</v>
      </c>
      <c r="AW1456" s="1">
        <f t="shared" si="256"/>
        <v>0</v>
      </c>
      <c r="AX1456" s="1">
        <f t="shared" si="257"/>
        <v>0</v>
      </c>
    </row>
    <row r="1457" spans="1:50" s="1" customFormat="1" ht="24.95" customHeight="1" outlineLevel="3" x14ac:dyDescent="0.2">
      <c r="A1457" s="26"/>
      <c r="B1457" s="27">
        <v>640</v>
      </c>
      <c r="C1457" s="27">
        <v>940</v>
      </c>
      <c r="D1457" s="27">
        <v>5511</v>
      </c>
      <c r="E1457" s="29" t="s">
        <v>4763</v>
      </c>
      <c r="F1457" s="29" t="s">
        <v>4764</v>
      </c>
      <c r="G1457" s="29" t="s">
        <v>97</v>
      </c>
      <c r="H1457" s="29" t="s">
        <v>40</v>
      </c>
      <c r="I1457" s="27">
        <v>2024</v>
      </c>
      <c r="J1457" s="29" t="s">
        <v>4765</v>
      </c>
      <c r="K1457" s="27">
        <v>9785907274624</v>
      </c>
      <c r="L1457" s="29" t="s">
        <v>4766</v>
      </c>
      <c r="M1457" s="27">
        <v>316</v>
      </c>
      <c r="N1457" s="30">
        <v>0.62</v>
      </c>
      <c r="O1457" s="27">
        <v>171</v>
      </c>
      <c r="P1457" s="27">
        <v>241</v>
      </c>
      <c r="Q1457" s="27">
        <v>5</v>
      </c>
      <c r="R1457" s="29" t="s">
        <v>94</v>
      </c>
      <c r="S1457" s="29"/>
      <c r="T1457" s="28">
        <v>1000</v>
      </c>
      <c r="U1457" s="29" t="s">
        <v>52</v>
      </c>
      <c r="V1457" s="29" t="s">
        <v>64</v>
      </c>
      <c r="W1457" s="27">
        <v>10</v>
      </c>
      <c r="X1457" s="37" t="str">
        <f>HYPERLINK("https://www.alpinabook.ru/catalog/book-upravlenie-rezultativnostyu","ссылка на книгу")</f>
        <v>ссылка на книгу</v>
      </c>
      <c r="Y1457" s="38" t="str">
        <f>HYPERLINK("https://api-enni.alpina.ru/FilePrivilegesApproval/2","https://api-enni.alpina.ru/FilePrivilegesApproval/2")</f>
        <v>https://api-enni.alpina.ru/FilePrivilegesApproval/2</v>
      </c>
      <c r="Z1457" s="29"/>
      <c r="AT1457" s="1">
        <f t="shared" si="253"/>
        <v>0</v>
      </c>
      <c r="AU1457" s="1">
        <f t="shared" si="254"/>
        <v>0</v>
      </c>
      <c r="AV1457" s="1">
        <f t="shared" si="255"/>
        <v>0</v>
      </c>
      <c r="AW1457" s="1">
        <f t="shared" si="256"/>
        <v>0</v>
      </c>
      <c r="AX1457" s="1">
        <f t="shared" si="257"/>
        <v>0</v>
      </c>
    </row>
    <row r="1458" spans="1:50" s="1" customFormat="1" ht="24.95" customHeight="1" outlineLevel="3" x14ac:dyDescent="0.2">
      <c r="A1458" s="26"/>
      <c r="B1458" s="27">
        <v>690</v>
      </c>
      <c r="C1458" s="27">
        <v>990</v>
      </c>
      <c r="D1458" s="27">
        <v>17742</v>
      </c>
      <c r="E1458" s="29" t="s">
        <v>4767</v>
      </c>
      <c r="F1458" s="29" t="s">
        <v>4768</v>
      </c>
      <c r="G1458" s="29" t="s">
        <v>56</v>
      </c>
      <c r="H1458" s="29" t="s">
        <v>40</v>
      </c>
      <c r="I1458" s="27">
        <v>2024</v>
      </c>
      <c r="J1458" s="29" t="s">
        <v>4769</v>
      </c>
      <c r="K1458" s="27">
        <v>9785961432022</v>
      </c>
      <c r="L1458" s="29" t="s">
        <v>4770</v>
      </c>
      <c r="M1458" s="27">
        <v>232</v>
      </c>
      <c r="N1458" s="30">
        <v>0.37</v>
      </c>
      <c r="O1458" s="27">
        <v>146</v>
      </c>
      <c r="P1458" s="27">
        <v>216</v>
      </c>
      <c r="Q1458" s="27">
        <v>5</v>
      </c>
      <c r="R1458" s="29" t="s">
        <v>43</v>
      </c>
      <c r="S1458" s="29"/>
      <c r="T1458" s="28">
        <v>1000</v>
      </c>
      <c r="U1458" s="29" t="s">
        <v>52</v>
      </c>
      <c r="V1458" s="29" t="s">
        <v>59</v>
      </c>
      <c r="W1458" s="27">
        <v>10</v>
      </c>
      <c r="X1458" s="37" t="str">
        <f>HYPERLINK("https://www.alpinabook.ru/catalog/book-upravlenie-talantami","ссылка на книгу")</f>
        <v>ссылка на книгу</v>
      </c>
      <c r="Y1458" s="38" t="str">
        <f>HYPERLINK("https://api-enni.alpina.ru/FilePrivilegesApproval/69","https://api-enni.alpina.ru/FilePrivilegesApproval/69")</f>
        <v>https://api-enni.alpina.ru/FilePrivilegesApproval/69</v>
      </c>
      <c r="Z1458" s="29"/>
      <c r="AT1458" s="1">
        <f t="shared" si="253"/>
        <v>0</v>
      </c>
      <c r="AU1458" s="1">
        <f t="shared" si="254"/>
        <v>0</v>
      </c>
      <c r="AV1458" s="1">
        <f t="shared" si="255"/>
        <v>0</v>
      </c>
      <c r="AW1458" s="1">
        <f t="shared" si="256"/>
        <v>0</v>
      </c>
      <c r="AX1458" s="1">
        <f t="shared" si="257"/>
        <v>0</v>
      </c>
    </row>
    <row r="1459" spans="1:50" s="1" customFormat="1" ht="24.95" customHeight="1" outlineLevel="3" x14ac:dyDescent="0.2">
      <c r="A1459" s="11"/>
      <c r="B1459" s="12">
        <v>540</v>
      </c>
      <c r="C1459" s="12">
        <v>790</v>
      </c>
      <c r="D1459" s="12">
        <v>12244</v>
      </c>
      <c r="E1459" s="13" t="s">
        <v>510</v>
      </c>
      <c r="F1459" s="13" t="s">
        <v>4771</v>
      </c>
      <c r="G1459" s="13" t="s">
        <v>56</v>
      </c>
      <c r="H1459" s="13"/>
      <c r="I1459" s="12">
        <v>2025</v>
      </c>
      <c r="J1459" s="13" t="s">
        <v>4772</v>
      </c>
      <c r="K1459" s="12">
        <v>9785961424645</v>
      </c>
      <c r="L1459" s="13" t="s">
        <v>4773</v>
      </c>
      <c r="M1459" s="12">
        <v>166</v>
      </c>
      <c r="N1459" s="14">
        <v>0.35</v>
      </c>
      <c r="O1459" s="12">
        <v>150</v>
      </c>
      <c r="P1459" s="12">
        <v>220</v>
      </c>
      <c r="Q1459" s="12">
        <v>10</v>
      </c>
      <c r="R1459" s="13" t="s">
        <v>43</v>
      </c>
      <c r="S1459" s="13"/>
      <c r="T1459" s="15">
        <v>1000</v>
      </c>
      <c r="U1459" s="13" t="s">
        <v>52</v>
      </c>
      <c r="V1459" s="13" t="s">
        <v>59</v>
      </c>
      <c r="W1459" s="12">
        <v>10</v>
      </c>
      <c r="X1459" s="33" t="str">
        <f>HYPERLINK("https://www.alpinabook.ru/catalog/book-chto-skryvaet-kandidat","ссылка на книгу")</f>
        <v>ссылка на книгу</v>
      </c>
      <c r="Y1459" s="34" t="str">
        <f>HYPERLINK("https://api-enni.alpina.ru/FilePrivilegesApproval/33","https://api-enni.alpina.ru/FilePrivilegesApproval/33")</f>
        <v>https://api-enni.alpina.ru/FilePrivilegesApproval/33</v>
      </c>
      <c r="Z1459" s="13" t="s">
        <v>77</v>
      </c>
      <c r="AT1459" s="1">
        <f t="shared" si="253"/>
        <v>0</v>
      </c>
      <c r="AU1459" s="1">
        <f t="shared" si="254"/>
        <v>0</v>
      </c>
      <c r="AV1459" s="1">
        <f t="shared" si="255"/>
        <v>0</v>
      </c>
      <c r="AW1459" s="1">
        <f t="shared" si="256"/>
        <v>0</v>
      </c>
      <c r="AX1459" s="1">
        <f t="shared" si="257"/>
        <v>0</v>
      </c>
    </row>
    <row r="1460" spans="1:50" s="1" customFormat="1" ht="24.95" customHeight="1" outlineLevel="3" x14ac:dyDescent="0.2">
      <c r="A1460" s="11"/>
      <c r="B1460" s="12">
        <v>690</v>
      </c>
      <c r="C1460" s="12">
        <v>990</v>
      </c>
      <c r="D1460" s="12">
        <v>30013</v>
      </c>
      <c r="E1460" s="13" t="s">
        <v>4774</v>
      </c>
      <c r="F1460" s="13" t="s">
        <v>4775</v>
      </c>
      <c r="G1460" s="13" t="s">
        <v>97</v>
      </c>
      <c r="H1460" s="13"/>
      <c r="I1460" s="12">
        <v>2024</v>
      </c>
      <c r="J1460" s="13" t="s">
        <v>4776</v>
      </c>
      <c r="K1460" s="12">
        <v>9785206003017</v>
      </c>
      <c r="L1460" s="13" t="s">
        <v>4777</v>
      </c>
      <c r="M1460" s="12">
        <v>232</v>
      </c>
      <c r="N1460" s="14">
        <v>0.28999999999999998</v>
      </c>
      <c r="O1460" s="12">
        <v>140</v>
      </c>
      <c r="P1460" s="12">
        <v>210</v>
      </c>
      <c r="Q1460" s="12">
        <v>10</v>
      </c>
      <c r="R1460" s="13" t="s">
        <v>43</v>
      </c>
      <c r="S1460" s="13"/>
      <c r="T1460" s="15">
        <v>2000</v>
      </c>
      <c r="U1460" s="13" t="s">
        <v>44</v>
      </c>
      <c r="V1460" s="13" t="s">
        <v>45</v>
      </c>
      <c r="W1460" s="12">
        <v>10</v>
      </c>
      <c r="X1460" s="33" t="str">
        <f>HYPERLINK("https://www.alpinabook.ru/catalog/book-chudovishchnaya-komanda","ссылка на книгу")</f>
        <v>ссылка на книгу</v>
      </c>
      <c r="Y1460" s="34" t="str">
        <f>HYPERLINK("https://api-enni.alpina.ru/FilePrivilegesApproval/570","https://api-enni.alpina.ru/FilePrivilegesApproval/570")</f>
        <v>https://api-enni.alpina.ru/FilePrivilegesApproval/570</v>
      </c>
      <c r="Z1460" s="13"/>
      <c r="AT1460" s="1">
        <f t="shared" si="253"/>
        <v>0</v>
      </c>
      <c r="AU1460" s="1">
        <f t="shared" si="254"/>
        <v>0</v>
      </c>
      <c r="AV1460" s="1">
        <f t="shared" si="255"/>
        <v>0</v>
      </c>
      <c r="AW1460" s="1">
        <f t="shared" si="256"/>
        <v>0</v>
      </c>
      <c r="AX1460" s="1">
        <f t="shared" si="257"/>
        <v>0</v>
      </c>
    </row>
    <row r="1461" spans="1:50" ht="11.1" customHeight="1" outlineLevel="2" x14ac:dyDescent="0.2">
      <c r="A1461" s="40" t="s">
        <v>4778</v>
      </c>
      <c r="B1461" s="40"/>
      <c r="C1461" s="40"/>
      <c r="D1461" s="40"/>
      <c r="E1461" s="40"/>
      <c r="F1461" s="40"/>
      <c r="G1461" s="40"/>
      <c r="H1461" s="40"/>
      <c r="I1461" s="40"/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20"/>
    </row>
    <row r="1462" spans="1:50" s="1" customFormat="1" ht="24.95" customHeight="1" outlineLevel="3" x14ac:dyDescent="0.2">
      <c r="A1462" s="11"/>
      <c r="B1462" s="12">
        <v>430</v>
      </c>
      <c r="C1462" s="12">
        <v>430</v>
      </c>
      <c r="D1462" s="12">
        <v>11289</v>
      </c>
      <c r="E1462" s="13" t="s">
        <v>4779</v>
      </c>
      <c r="F1462" s="13" t="s">
        <v>4780</v>
      </c>
      <c r="G1462" s="13" t="s">
        <v>56</v>
      </c>
      <c r="H1462" s="13"/>
      <c r="I1462" s="12">
        <v>2019</v>
      </c>
      <c r="J1462" s="13" t="s">
        <v>4781</v>
      </c>
      <c r="K1462" s="12">
        <v>9785961419733</v>
      </c>
      <c r="L1462" s="13" t="s">
        <v>4782</v>
      </c>
      <c r="M1462" s="12">
        <v>136</v>
      </c>
      <c r="N1462" s="14">
        <v>0.27</v>
      </c>
      <c r="O1462" s="12">
        <v>146</v>
      </c>
      <c r="P1462" s="12">
        <v>216</v>
      </c>
      <c r="Q1462" s="12">
        <v>22</v>
      </c>
      <c r="R1462" s="13" t="s">
        <v>43</v>
      </c>
      <c r="S1462" s="13"/>
      <c r="T1462" s="15">
        <v>2000</v>
      </c>
      <c r="U1462" s="13" t="s">
        <v>52</v>
      </c>
      <c r="V1462" s="13" t="s">
        <v>45</v>
      </c>
      <c r="W1462" s="12">
        <v>10</v>
      </c>
      <c r="X1462" s="33" t="str">
        <f>HYPERLINK("https://www.alpinabook.ru/catalog/book-506592","ссылка на книгу")</f>
        <v>ссылка на книгу</v>
      </c>
      <c r="Y1462" s="34" t="str">
        <f>HYPERLINK("https://api-enni.alpina.ru/FilePrivilegesApproval/2","https://api-enni.alpina.ru/FilePrivilegesApproval/2")</f>
        <v>https://api-enni.alpina.ru/FilePrivilegesApproval/2</v>
      </c>
      <c r="Z1462" s="13"/>
      <c r="AT1462" s="1">
        <f t="shared" ref="AT1462:AT1493" si="258">IF($A1462&lt;&gt;0,1,0)</f>
        <v>0</v>
      </c>
      <c r="AU1462" s="1">
        <f t="shared" ref="AU1462:AU1493" si="259">$A1462*$B1462</f>
        <v>0</v>
      </c>
      <c r="AV1462" s="1">
        <f t="shared" ref="AV1462:AV1493" si="260">$A1462*$N1462</f>
        <v>0</v>
      </c>
      <c r="AW1462" s="1">
        <f t="shared" ref="AW1462:AW1493" si="261">IF($Q1462=0,0,INT($A1462/$Q1462))</f>
        <v>0</v>
      </c>
      <c r="AX1462" s="1">
        <f t="shared" ref="AX1462:AX1493" si="262">$A1462-$AW1462*$Q1462</f>
        <v>0</v>
      </c>
    </row>
    <row r="1463" spans="1:50" s="1" customFormat="1" ht="24.95" customHeight="1" outlineLevel="3" x14ac:dyDescent="0.2">
      <c r="A1463" s="11"/>
      <c r="B1463" s="12">
        <v>690</v>
      </c>
      <c r="C1463" s="12">
        <v>990</v>
      </c>
      <c r="D1463" s="12">
        <v>26417</v>
      </c>
      <c r="E1463" s="13" t="s">
        <v>1931</v>
      </c>
      <c r="F1463" s="13" t="s">
        <v>4783</v>
      </c>
      <c r="G1463" s="13" t="s">
        <v>97</v>
      </c>
      <c r="H1463" s="13"/>
      <c r="I1463" s="12">
        <v>2024</v>
      </c>
      <c r="J1463" s="13" t="s">
        <v>4784</v>
      </c>
      <c r="K1463" s="12">
        <v>9785206000788</v>
      </c>
      <c r="L1463" s="13" t="s">
        <v>4785</v>
      </c>
      <c r="M1463" s="12">
        <v>349</v>
      </c>
      <c r="N1463" s="14">
        <v>0.54</v>
      </c>
      <c r="O1463" s="12">
        <v>150</v>
      </c>
      <c r="P1463" s="12">
        <v>220</v>
      </c>
      <c r="Q1463" s="12">
        <v>5</v>
      </c>
      <c r="R1463" s="13" t="s">
        <v>43</v>
      </c>
      <c r="S1463" s="13"/>
      <c r="T1463" s="15">
        <v>1000</v>
      </c>
      <c r="U1463" s="13" t="s">
        <v>52</v>
      </c>
      <c r="V1463" s="13" t="s">
        <v>59</v>
      </c>
      <c r="W1463" s="12">
        <v>10</v>
      </c>
      <c r="X1463" s="33" t="str">
        <f>HYPERLINK("https://www.alpinabook.ru/catalog/book-prozakupki","ссылка на книгу")</f>
        <v>ссылка на книгу</v>
      </c>
      <c r="Y1463" s="34" t="str">
        <f>HYPERLINK("https://api-enni.alpina.ru/FilePrivilegesApproval/167","https://api-enni.alpina.ru/FilePrivilegesApproval/167")</f>
        <v>https://api-enni.alpina.ru/FilePrivilegesApproval/167</v>
      </c>
      <c r="Z1463" s="13" t="s">
        <v>295</v>
      </c>
      <c r="AT1463" s="1">
        <f t="shared" si="258"/>
        <v>0</v>
      </c>
      <c r="AU1463" s="1">
        <f t="shared" si="259"/>
        <v>0</v>
      </c>
      <c r="AV1463" s="1">
        <f t="shared" si="260"/>
        <v>0</v>
      </c>
      <c r="AW1463" s="1">
        <f t="shared" si="261"/>
        <v>0</v>
      </c>
      <c r="AX1463" s="1">
        <f t="shared" si="262"/>
        <v>0</v>
      </c>
    </row>
    <row r="1464" spans="1:50" s="1" customFormat="1" ht="24.95" customHeight="1" outlineLevel="3" x14ac:dyDescent="0.2">
      <c r="A1464" s="11"/>
      <c r="B1464" s="12">
        <v>590</v>
      </c>
      <c r="C1464" s="12">
        <v>840</v>
      </c>
      <c r="D1464" s="12">
        <v>5960</v>
      </c>
      <c r="E1464" s="13" t="s">
        <v>4468</v>
      </c>
      <c r="F1464" s="13" t="s">
        <v>4786</v>
      </c>
      <c r="G1464" s="13" t="s">
        <v>97</v>
      </c>
      <c r="H1464" s="13"/>
      <c r="I1464" s="12">
        <v>2025</v>
      </c>
      <c r="J1464" s="13" t="s">
        <v>4787</v>
      </c>
      <c r="K1464" s="12">
        <v>9785907274525</v>
      </c>
      <c r="L1464" s="13" t="s">
        <v>4788</v>
      </c>
      <c r="M1464" s="12">
        <v>182</v>
      </c>
      <c r="N1464" s="14">
        <v>0.3</v>
      </c>
      <c r="O1464" s="12">
        <v>170</v>
      </c>
      <c r="P1464" s="12">
        <v>240</v>
      </c>
      <c r="Q1464" s="12">
        <v>10</v>
      </c>
      <c r="R1464" s="13" t="s">
        <v>94</v>
      </c>
      <c r="S1464" s="13"/>
      <c r="T1464" s="15">
        <v>1000</v>
      </c>
      <c r="U1464" s="13" t="s">
        <v>44</v>
      </c>
      <c r="V1464" s="13" t="s">
        <v>64</v>
      </c>
      <c r="W1464" s="12">
        <v>10</v>
      </c>
      <c r="X1464" s="33" t="str">
        <f>HYPERLINK("https://www.alpinabook.ru/catalog/book-sales-detonator","ссылка на книгу")</f>
        <v>ссылка на книгу</v>
      </c>
      <c r="Y1464" s="34" t="str">
        <f>HYPERLINK("https://api-enni.alpina.ru/FilePrivilegesApproval/142","https://api-enni.alpina.ru/FilePrivilegesApproval/142")</f>
        <v>https://api-enni.alpina.ru/FilePrivilegesApproval/142</v>
      </c>
      <c r="Z1464" s="13" t="s">
        <v>775</v>
      </c>
      <c r="AT1464" s="1">
        <f t="shared" si="258"/>
        <v>0</v>
      </c>
      <c r="AU1464" s="1">
        <f t="shared" si="259"/>
        <v>0</v>
      </c>
      <c r="AV1464" s="1">
        <f t="shared" si="260"/>
        <v>0</v>
      </c>
      <c r="AW1464" s="1">
        <f t="shared" si="261"/>
        <v>0</v>
      </c>
      <c r="AX1464" s="1">
        <f t="shared" si="262"/>
        <v>0</v>
      </c>
    </row>
    <row r="1465" spans="1:50" s="1" customFormat="1" ht="24.95" customHeight="1" outlineLevel="3" x14ac:dyDescent="0.2">
      <c r="A1465" s="11"/>
      <c r="B1465" s="12">
        <v>590</v>
      </c>
      <c r="C1465" s="12">
        <v>840</v>
      </c>
      <c r="D1465" s="12">
        <v>7727</v>
      </c>
      <c r="E1465" s="13" t="s">
        <v>326</v>
      </c>
      <c r="F1465" s="13" t="s">
        <v>327</v>
      </c>
      <c r="G1465" s="13" t="s">
        <v>56</v>
      </c>
      <c r="H1465" s="13"/>
      <c r="I1465" s="12">
        <v>2025</v>
      </c>
      <c r="J1465" s="13" t="s">
        <v>328</v>
      </c>
      <c r="K1465" s="12">
        <v>9785961465617</v>
      </c>
      <c r="L1465" s="13" t="s">
        <v>329</v>
      </c>
      <c r="M1465" s="12">
        <v>280</v>
      </c>
      <c r="N1465" s="14">
        <v>0.34</v>
      </c>
      <c r="O1465" s="12">
        <v>141</v>
      </c>
      <c r="P1465" s="12">
        <v>210</v>
      </c>
      <c r="Q1465" s="12">
        <v>8</v>
      </c>
      <c r="R1465" s="13" t="s">
        <v>43</v>
      </c>
      <c r="S1465" s="13"/>
      <c r="T1465" s="15">
        <v>1000</v>
      </c>
      <c r="U1465" s="13" t="s">
        <v>44</v>
      </c>
      <c r="V1465" s="13" t="s">
        <v>64</v>
      </c>
      <c r="W1465" s="12">
        <v>10</v>
      </c>
      <c r="X1465" s="33" t="str">
        <f>HYPERLINK("https://www.alpinabook.ru/catalog/book-bolshie-prodazhi-bez-kompromissov-i-opravdaniy","ссылка на книгу")</f>
        <v>ссылка на книгу</v>
      </c>
      <c r="Y1465" s="34" t="str">
        <f>HYPERLINK("https://api-enni.alpina.ru/FilePrivilegesApproval/2","https://api-enni.alpina.ru/FilePrivilegesApproval/2")</f>
        <v>https://api-enni.alpina.ru/FilePrivilegesApproval/2</v>
      </c>
      <c r="Z1465" s="13" t="s">
        <v>118</v>
      </c>
      <c r="AT1465" s="1">
        <f t="shared" si="258"/>
        <v>0</v>
      </c>
      <c r="AU1465" s="1">
        <f t="shared" si="259"/>
        <v>0</v>
      </c>
      <c r="AV1465" s="1">
        <f t="shared" si="260"/>
        <v>0</v>
      </c>
      <c r="AW1465" s="1">
        <f t="shared" si="261"/>
        <v>0</v>
      </c>
      <c r="AX1465" s="1">
        <f t="shared" si="262"/>
        <v>0</v>
      </c>
    </row>
    <row r="1466" spans="1:50" s="1" customFormat="1" ht="24.95" customHeight="1" outlineLevel="3" x14ac:dyDescent="0.2">
      <c r="A1466" s="26"/>
      <c r="B1466" s="27">
        <v>740</v>
      </c>
      <c r="C1466" s="27">
        <v>740</v>
      </c>
      <c r="D1466" s="27">
        <v>25064</v>
      </c>
      <c r="E1466" s="29" t="s">
        <v>4789</v>
      </c>
      <c r="F1466" s="29" t="s">
        <v>4790</v>
      </c>
      <c r="G1466" s="29" t="s">
        <v>97</v>
      </c>
      <c r="H1466" s="29"/>
      <c r="I1466" s="27">
        <v>2022</v>
      </c>
      <c r="J1466" s="29" t="s">
        <v>4791</v>
      </c>
      <c r="K1466" s="27">
        <v>9785907534452</v>
      </c>
      <c r="L1466" s="29" t="s">
        <v>4792</v>
      </c>
      <c r="M1466" s="27">
        <v>232</v>
      </c>
      <c r="N1466" s="30">
        <v>0.4</v>
      </c>
      <c r="O1466" s="27">
        <v>153</v>
      </c>
      <c r="P1466" s="27">
        <v>216</v>
      </c>
      <c r="Q1466" s="27">
        <v>14</v>
      </c>
      <c r="R1466" s="29" t="s">
        <v>43</v>
      </c>
      <c r="S1466" s="29"/>
      <c r="T1466" s="28">
        <v>1200</v>
      </c>
      <c r="U1466" s="29" t="s">
        <v>52</v>
      </c>
      <c r="V1466" s="29" t="s">
        <v>59</v>
      </c>
      <c r="W1466" s="27">
        <v>10</v>
      </c>
      <c r="X1466" s="37" t="str">
        <f>HYPERLINK("https://www.alpinabook.ru/catalog/book-vo-imya-servisa","ссылка на книгу")</f>
        <v>ссылка на книгу</v>
      </c>
      <c r="Y1466" s="38" t="str">
        <f>HYPERLINK("https://api-enni.alpina.ru/FilePrivilegesApproval/139","https://api-enni.alpina.ru/FilePrivilegesApproval/139")</f>
        <v>https://api-enni.alpina.ru/FilePrivilegesApproval/139</v>
      </c>
      <c r="Z1466" s="29"/>
      <c r="AT1466" s="1">
        <f t="shared" si="258"/>
        <v>0</v>
      </c>
      <c r="AU1466" s="1">
        <f t="shared" si="259"/>
        <v>0</v>
      </c>
      <c r="AV1466" s="1">
        <f t="shared" si="260"/>
        <v>0</v>
      </c>
      <c r="AW1466" s="1">
        <f t="shared" si="261"/>
        <v>0</v>
      </c>
      <c r="AX1466" s="1">
        <f t="shared" si="262"/>
        <v>0</v>
      </c>
    </row>
    <row r="1467" spans="1:50" s="1" customFormat="1" ht="24.95" customHeight="1" outlineLevel="3" x14ac:dyDescent="0.2">
      <c r="A1467" s="11"/>
      <c r="B1467" s="12">
        <v>690</v>
      </c>
      <c r="C1467" s="12">
        <v>990</v>
      </c>
      <c r="D1467" s="12">
        <v>29462</v>
      </c>
      <c r="E1467" s="13" t="s">
        <v>4793</v>
      </c>
      <c r="F1467" s="13" t="s">
        <v>4794</v>
      </c>
      <c r="G1467" s="13" t="s">
        <v>97</v>
      </c>
      <c r="H1467" s="13"/>
      <c r="I1467" s="12">
        <v>2024</v>
      </c>
      <c r="J1467" s="13" t="s">
        <v>4795</v>
      </c>
      <c r="K1467" s="12">
        <v>9785206002744</v>
      </c>
      <c r="L1467" s="13" t="s">
        <v>4796</v>
      </c>
      <c r="M1467" s="12">
        <v>152</v>
      </c>
      <c r="N1467" s="14">
        <v>0.28999999999999998</v>
      </c>
      <c r="O1467" s="12">
        <v>150</v>
      </c>
      <c r="P1467" s="12">
        <v>220</v>
      </c>
      <c r="Q1467" s="12">
        <v>10</v>
      </c>
      <c r="R1467" s="13" t="s">
        <v>43</v>
      </c>
      <c r="S1467" s="13"/>
      <c r="T1467" s="15">
        <v>1005</v>
      </c>
      <c r="U1467" s="13" t="s">
        <v>52</v>
      </c>
      <c r="V1467" s="13" t="s">
        <v>45</v>
      </c>
      <c r="W1467" s="12">
        <v>10</v>
      </c>
      <c r="X1467" s="33" t="str">
        <f>HYPERLINK("https://www.alpinabook.ru/catalog/book-dayte-zhalobnuyu-knigu","ссылка на книгу")</f>
        <v>ссылка на книгу</v>
      </c>
      <c r="Y1467" s="34" t="str">
        <f>HYPERLINK("https://api-enni.alpina.ru/FilePrivilegesApproval/357","https://api-enni.alpina.ru/FilePrivilegesApproval/357")</f>
        <v>https://api-enni.alpina.ru/FilePrivilegesApproval/357</v>
      </c>
      <c r="Z1467" s="13"/>
      <c r="AT1467" s="1">
        <f t="shared" si="258"/>
        <v>0</v>
      </c>
      <c r="AU1467" s="1">
        <f t="shared" si="259"/>
        <v>0</v>
      </c>
      <c r="AV1467" s="1">
        <f t="shared" si="260"/>
        <v>0</v>
      </c>
      <c r="AW1467" s="1">
        <f t="shared" si="261"/>
        <v>0</v>
      </c>
      <c r="AX1467" s="1">
        <f t="shared" si="262"/>
        <v>0</v>
      </c>
    </row>
    <row r="1468" spans="1:50" s="1" customFormat="1" ht="24.95" customHeight="1" outlineLevel="3" x14ac:dyDescent="0.2">
      <c r="A1468" s="26"/>
      <c r="B1468" s="27">
        <v>430</v>
      </c>
      <c r="C1468" s="27">
        <v>640</v>
      </c>
      <c r="D1468" s="27">
        <v>9002</v>
      </c>
      <c r="E1468" s="29" t="s">
        <v>4797</v>
      </c>
      <c r="F1468" s="29" t="s">
        <v>4798</v>
      </c>
      <c r="G1468" s="29" t="s">
        <v>56</v>
      </c>
      <c r="H1468" s="29" t="s">
        <v>40</v>
      </c>
      <c r="I1468" s="27">
        <v>2019</v>
      </c>
      <c r="J1468" s="29" t="s">
        <v>4799</v>
      </c>
      <c r="K1468" s="27">
        <v>9785961410457</v>
      </c>
      <c r="L1468" s="29" t="s">
        <v>4800</v>
      </c>
      <c r="M1468" s="27">
        <v>114</v>
      </c>
      <c r="N1468" s="30">
        <v>0.28999999999999998</v>
      </c>
      <c r="O1468" s="27">
        <v>146</v>
      </c>
      <c r="P1468" s="27">
        <v>216</v>
      </c>
      <c r="Q1468" s="27">
        <v>20</v>
      </c>
      <c r="R1468" s="29" t="s">
        <v>43</v>
      </c>
      <c r="S1468" s="29"/>
      <c r="T1468" s="28">
        <v>3000</v>
      </c>
      <c r="U1468" s="29" t="s">
        <v>52</v>
      </c>
      <c r="V1468" s="29" t="s">
        <v>59</v>
      </c>
      <c r="W1468" s="27">
        <v>10</v>
      </c>
      <c r="X1468" s="37" t="str">
        <f>HYPERLINK("https://www.alpinabook.ru/catalog/book-499059","ссылка на книгу")</f>
        <v>ссылка на книгу</v>
      </c>
      <c r="Y1468" s="38" t="str">
        <f>HYPERLINK("https://api-enni.alpina.ru/FilePrivilegesApproval/2","https://api-enni.alpina.ru/FilePrivilegesApproval/2")</f>
        <v>https://api-enni.alpina.ru/FilePrivilegesApproval/2</v>
      </c>
      <c r="Z1468" s="29"/>
      <c r="AT1468" s="1">
        <f t="shared" si="258"/>
        <v>0</v>
      </c>
      <c r="AU1468" s="1">
        <f t="shared" si="259"/>
        <v>0</v>
      </c>
      <c r="AV1468" s="1">
        <f t="shared" si="260"/>
        <v>0</v>
      </c>
      <c r="AW1468" s="1">
        <f t="shared" si="261"/>
        <v>0</v>
      </c>
      <c r="AX1468" s="1">
        <f t="shared" si="262"/>
        <v>0</v>
      </c>
    </row>
    <row r="1469" spans="1:50" s="1" customFormat="1" ht="24.95" customHeight="1" outlineLevel="3" x14ac:dyDescent="0.2">
      <c r="A1469" s="26"/>
      <c r="B1469" s="27">
        <v>440</v>
      </c>
      <c r="C1469" s="27">
        <v>690</v>
      </c>
      <c r="D1469" s="27">
        <v>7642</v>
      </c>
      <c r="E1469" s="29" t="s">
        <v>4801</v>
      </c>
      <c r="F1469" s="29" t="s">
        <v>4802</v>
      </c>
      <c r="G1469" s="29" t="s">
        <v>56</v>
      </c>
      <c r="H1469" s="29" t="s">
        <v>40</v>
      </c>
      <c r="I1469" s="27">
        <v>2024</v>
      </c>
      <c r="J1469" s="29" t="s">
        <v>4803</v>
      </c>
      <c r="K1469" s="27">
        <v>9785961471564</v>
      </c>
      <c r="L1469" s="29" t="s">
        <v>4804</v>
      </c>
      <c r="M1469" s="27">
        <v>122</v>
      </c>
      <c r="N1469" s="30">
        <v>0.26</v>
      </c>
      <c r="O1469" s="27">
        <v>153</v>
      </c>
      <c r="P1469" s="27">
        <v>216</v>
      </c>
      <c r="Q1469" s="27">
        <v>10</v>
      </c>
      <c r="R1469" s="29" t="s">
        <v>43</v>
      </c>
      <c r="S1469" s="29"/>
      <c r="T1469" s="28">
        <v>1000</v>
      </c>
      <c r="U1469" s="29" t="s">
        <v>52</v>
      </c>
      <c r="V1469" s="29" t="s">
        <v>64</v>
      </c>
      <c r="W1469" s="27">
        <v>10</v>
      </c>
      <c r="X1469" s="37" t="str">
        <f>HYPERLINK("https://www.alpinabook.ru/catalog/book-razgnevannogo-v-schastlivogo","ссылка на книгу")</f>
        <v>ссылка на книгу</v>
      </c>
      <c r="Y1469" s="38" t="str">
        <f>HYPERLINK("https://api-enni.alpina.ru/FilePrivilegesApproval/152","https://api-enni.alpina.ru/FilePrivilegesApproval/152")</f>
        <v>https://api-enni.alpina.ru/FilePrivilegesApproval/152</v>
      </c>
      <c r="Z1469" s="29"/>
      <c r="AT1469" s="1">
        <f t="shared" si="258"/>
        <v>0</v>
      </c>
      <c r="AU1469" s="1">
        <f t="shared" si="259"/>
        <v>0</v>
      </c>
      <c r="AV1469" s="1">
        <f t="shared" si="260"/>
        <v>0</v>
      </c>
      <c r="AW1469" s="1">
        <f t="shared" si="261"/>
        <v>0</v>
      </c>
      <c r="AX1469" s="1">
        <f t="shared" si="262"/>
        <v>0</v>
      </c>
    </row>
    <row r="1470" spans="1:50" s="1" customFormat="1" ht="24.95" customHeight="1" outlineLevel="3" x14ac:dyDescent="0.2">
      <c r="A1470" s="11"/>
      <c r="B1470" s="12">
        <v>790</v>
      </c>
      <c r="C1470" s="12">
        <v>790</v>
      </c>
      <c r="D1470" s="12">
        <v>12332</v>
      </c>
      <c r="E1470" s="13" t="s">
        <v>4805</v>
      </c>
      <c r="F1470" s="13" t="s">
        <v>4806</v>
      </c>
      <c r="G1470" s="13" t="s">
        <v>56</v>
      </c>
      <c r="H1470" s="13" t="s">
        <v>40</v>
      </c>
      <c r="I1470" s="12">
        <v>2025</v>
      </c>
      <c r="J1470" s="13" t="s">
        <v>4807</v>
      </c>
      <c r="K1470" s="12">
        <v>9785961436907</v>
      </c>
      <c r="L1470" s="13" t="s">
        <v>4808</v>
      </c>
      <c r="M1470" s="12">
        <v>190</v>
      </c>
      <c r="N1470" s="14">
        <v>0.33</v>
      </c>
      <c r="O1470" s="12">
        <v>150</v>
      </c>
      <c r="P1470" s="12">
        <v>220</v>
      </c>
      <c r="Q1470" s="12">
        <v>10</v>
      </c>
      <c r="R1470" s="13" t="s">
        <v>43</v>
      </c>
      <c r="S1470" s="13"/>
      <c r="T1470" s="15">
        <v>1000</v>
      </c>
      <c r="U1470" s="13" t="s">
        <v>52</v>
      </c>
      <c r="V1470" s="13" t="s">
        <v>64</v>
      </c>
      <c r="W1470" s="12">
        <v>10</v>
      </c>
      <c r="X1470" s="33" t="str">
        <f>HYPERLINK("https://www.alpinabook.ru/catalog/book-klientotsentrichnost","ссылка на книгу")</f>
        <v>ссылка на книгу</v>
      </c>
      <c r="Y1470" s="34" t="str">
        <f>HYPERLINK("https://api-enni.alpina.ru/FilePrivilegesApproval/72","https://api-enni.alpina.ru/FilePrivilegesApproval/72")</f>
        <v>https://api-enni.alpina.ru/FilePrivilegesApproval/72</v>
      </c>
      <c r="Z1470" s="13" t="s">
        <v>1222</v>
      </c>
      <c r="AT1470" s="1">
        <f t="shared" si="258"/>
        <v>0</v>
      </c>
      <c r="AU1470" s="1">
        <f t="shared" si="259"/>
        <v>0</v>
      </c>
      <c r="AV1470" s="1">
        <f t="shared" si="260"/>
        <v>0</v>
      </c>
      <c r="AW1470" s="1">
        <f t="shared" si="261"/>
        <v>0</v>
      </c>
      <c r="AX1470" s="1">
        <f t="shared" si="262"/>
        <v>0</v>
      </c>
    </row>
    <row r="1471" spans="1:50" s="1" customFormat="1" ht="21.95" customHeight="1" outlineLevel="3" x14ac:dyDescent="0.2">
      <c r="A1471" s="26"/>
      <c r="B1471" s="27">
        <v>440</v>
      </c>
      <c r="C1471" s="27">
        <v>690</v>
      </c>
      <c r="D1471" s="27">
        <v>11057</v>
      </c>
      <c r="E1471" s="29" t="s">
        <v>4809</v>
      </c>
      <c r="F1471" s="29" t="s">
        <v>4810</v>
      </c>
      <c r="G1471" s="29" t="s">
        <v>56</v>
      </c>
      <c r="H1471" s="29"/>
      <c r="I1471" s="27">
        <v>2019</v>
      </c>
      <c r="J1471" s="29" t="s">
        <v>4811</v>
      </c>
      <c r="K1471" s="27">
        <v>9785604231937</v>
      </c>
      <c r="L1471" s="29" t="s">
        <v>4812</v>
      </c>
      <c r="M1471" s="27">
        <v>200</v>
      </c>
      <c r="N1471" s="30">
        <v>0.5</v>
      </c>
      <c r="O1471" s="27">
        <v>146</v>
      </c>
      <c r="P1471" s="27">
        <v>216</v>
      </c>
      <c r="Q1471" s="27">
        <v>10</v>
      </c>
      <c r="R1471" s="29" t="s">
        <v>43</v>
      </c>
      <c r="S1471" s="29"/>
      <c r="T1471" s="28">
        <v>1500</v>
      </c>
      <c r="U1471" s="29" t="s">
        <v>52</v>
      </c>
      <c r="V1471" s="29" t="s">
        <v>59</v>
      </c>
      <c r="W1471" s="27">
        <v>10</v>
      </c>
      <c r="X1471" s="37" t="str">
        <f>HYPERLINK("https://www.alpinabook.ru/catalog/book-96115","ссылка на книгу")</f>
        <v>ссылка на книгу</v>
      </c>
      <c r="Y1471" s="38" t="str">
        <f>HYPERLINK("","")</f>
        <v/>
      </c>
      <c r="Z1471" s="29"/>
      <c r="AT1471" s="1">
        <f t="shared" si="258"/>
        <v>0</v>
      </c>
      <c r="AU1471" s="1">
        <f t="shared" si="259"/>
        <v>0</v>
      </c>
      <c r="AV1471" s="1">
        <f t="shared" si="260"/>
        <v>0</v>
      </c>
      <c r="AW1471" s="1">
        <f t="shared" si="261"/>
        <v>0</v>
      </c>
      <c r="AX1471" s="1">
        <f t="shared" si="262"/>
        <v>0</v>
      </c>
    </row>
    <row r="1472" spans="1:50" s="1" customFormat="1" ht="24.95" customHeight="1" outlineLevel="3" x14ac:dyDescent="0.2">
      <c r="A1472" s="11"/>
      <c r="B1472" s="12">
        <v>790</v>
      </c>
      <c r="C1472" s="15">
        <v>1190</v>
      </c>
      <c r="D1472" s="12">
        <v>7634</v>
      </c>
      <c r="E1472" s="13" t="s">
        <v>4813</v>
      </c>
      <c r="F1472" s="13" t="s">
        <v>4814</v>
      </c>
      <c r="G1472" s="13" t="s">
        <v>56</v>
      </c>
      <c r="H1472" s="13" t="s">
        <v>40</v>
      </c>
      <c r="I1472" s="12">
        <v>2025</v>
      </c>
      <c r="J1472" s="13" t="s">
        <v>4815</v>
      </c>
      <c r="K1472" s="12">
        <v>9785961469417</v>
      </c>
      <c r="L1472" s="13" t="s">
        <v>4816</v>
      </c>
      <c r="M1472" s="12">
        <v>288</v>
      </c>
      <c r="N1472" s="14">
        <v>0.45</v>
      </c>
      <c r="O1472" s="12">
        <v>150</v>
      </c>
      <c r="P1472" s="12">
        <v>220</v>
      </c>
      <c r="Q1472" s="12">
        <v>12</v>
      </c>
      <c r="R1472" s="13" t="s">
        <v>43</v>
      </c>
      <c r="S1472" s="13"/>
      <c r="T1472" s="15">
        <v>5000</v>
      </c>
      <c r="U1472" s="13" t="s">
        <v>52</v>
      </c>
      <c r="V1472" s="13" t="s">
        <v>45</v>
      </c>
      <c r="W1472" s="12">
        <v>10</v>
      </c>
      <c r="X1472" s="33" t="str">
        <f>HYPERLINK("https://www.alpinabook.ru/catalog/book-metod-volka-s-uoll-strit","ссылка на книгу")</f>
        <v>ссылка на книгу</v>
      </c>
      <c r="Y1472" s="34" t="str">
        <f>HYPERLINK("https://api-enni.alpina.ru/FilePrivilegesApproval/2","https://api-enni.alpina.ru/FilePrivilegesApproval/2")</f>
        <v>https://api-enni.alpina.ru/FilePrivilegesApproval/2</v>
      </c>
      <c r="Z1472" s="13"/>
      <c r="AT1472" s="1">
        <f t="shared" si="258"/>
        <v>0</v>
      </c>
      <c r="AU1472" s="1">
        <f t="shared" si="259"/>
        <v>0</v>
      </c>
      <c r="AV1472" s="1">
        <f t="shared" si="260"/>
        <v>0</v>
      </c>
      <c r="AW1472" s="1">
        <f t="shared" si="261"/>
        <v>0</v>
      </c>
      <c r="AX1472" s="1">
        <f t="shared" si="262"/>
        <v>0</v>
      </c>
    </row>
    <row r="1473" spans="1:50" s="1" customFormat="1" ht="24.95" customHeight="1" outlineLevel="3" x14ac:dyDescent="0.2">
      <c r="A1473" s="11"/>
      <c r="B1473" s="12">
        <v>790</v>
      </c>
      <c r="C1473" s="15">
        <v>1190</v>
      </c>
      <c r="D1473" s="12">
        <v>17112</v>
      </c>
      <c r="E1473" s="13" t="s">
        <v>4817</v>
      </c>
      <c r="F1473" s="13" t="s">
        <v>4818</v>
      </c>
      <c r="G1473" s="13" t="s">
        <v>56</v>
      </c>
      <c r="H1473" s="13" t="s">
        <v>40</v>
      </c>
      <c r="I1473" s="12">
        <v>2025</v>
      </c>
      <c r="J1473" s="13" t="s">
        <v>4819</v>
      </c>
      <c r="K1473" s="12">
        <v>9785961439656</v>
      </c>
      <c r="L1473" s="13" t="s">
        <v>4820</v>
      </c>
      <c r="M1473" s="12">
        <v>388</v>
      </c>
      <c r="N1473" s="14">
        <v>0.54</v>
      </c>
      <c r="O1473" s="12">
        <v>146</v>
      </c>
      <c r="P1473" s="12">
        <v>216</v>
      </c>
      <c r="Q1473" s="12">
        <v>5</v>
      </c>
      <c r="R1473" s="13" t="s">
        <v>43</v>
      </c>
      <c r="S1473" s="13"/>
      <c r="T1473" s="15">
        <v>1000</v>
      </c>
      <c r="U1473" s="13" t="s">
        <v>52</v>
      </c>
      <c r="V1473" s="13" t="s">
        <v>59</v>
      </c>
      <c r="W1473" s="12">
        <v>10</v>
      </c>
      <c r="X1473" s="33" t="str">
        <f>HYPERLINK("https://www.alpinabook.ru/catalog/book-nindzya-prodazh","ссылка на книгу")</f>
        <v>ссылка на книгу</v>
      </c>
      <c r="Y1473" s="34" t="str">
        <f>HYPERLINK("https://api-enni.alpina.ru/FilePrivilegesApproval/152","https://api-enni.alpina.ru/FilePrivilegesApproval/152")</f>
        <v>https://api-enni.alpina.ru/FilePrivilegesApproval/152</v>
      </c>
      <c r="Z1473" s="13" t="s">
        <v>567</v>
      </c>
      <c r="AT1473" s="1">
        <f t="shared" si="258"/>
        <v>0</v>
      </c>
      <c r="AU1473" s="1">
        <f t="shared" si="259"/>
        <v>0</v>
      </c>
      <c r="AV1473" s="1">
        <f t="shared" si="260"/>
        <v>0</v>
      </c>
      <c r="AW1473" s="1">
        <f t="shared" si="261"/>
        <v>0</v>
      </c>
      <c r="AX1473" s="1">
        <f t="shared" si="262"/>
        <v>0</v>
      </c>
    </row>
    <row r="1474" spans="1:50" s="1" customFormat="1" ht="24.95" customHeight="1" outlineLevel="3" x14ac:dyDescent="0.2">
      <c r="A1474" s="11"/>
      <c r="B1474" s="12">
        <v>590</v>
      </c>
      <c r="C1474" s="12">
        <v>840</v>
      </c>
      <c r="D1474" s="12">
        <v>22963</v>
      </c>
      <c r="E1474" s="13" t="s">
        <v>4821</v>
      </c>
      <c r="F1474" s="13" t="s">
        <v>4822</v>
      </c>
      <c r="G1474" s="13" t="s">
        <v>56</v>
      </c>
      <c r="H1474" s="13"/>
      <c r="I1474" s="12">
        <v>2024</v>
      </c>
      <c r="J1474" s="13" t="s">
        <v>4823</v>
      </c>
      <c r="K1474" s="12">
        <v>9785961467918</v>
      </c>
      <c r="L1474" s="13" t="s">
        <v>4824</v>
      </c>
      <c r="M1474" s="12">
        <v>228</v>
      </c>
      <c r="N1474" s="14">
        <v>0.38</v>
      </c>
      <c r="O1474" s="12">
        <v>153</v>
      </c>
      <c r="P1474" s="12">
        <v>216</v>
      </c>
      <c r="Q1474" s="12">
        <v>8</v>
      </c>
      <c r="R1474" s="13" t="s">
        <v>43</v>
      </c>
      <c r="S1474" s="13"/>
      <c r="T1474" s="15">
        <v>1500</v>
      </c>
      <c r="U1474" s="13" t="s">
        <v>52</v>
      </c>
      <c r="V1474" s="13" t="s">
        <v>64</v>
      </c>
      <c r="W1474" s="12">
        <v>10</v>
      </c>
      <c r="X1474" s="33" t="str">
        <f>HYPERLINK("https://www.alpinabook.ru/catalog/book-otchayannye-akkaunt-menedzhery","ссылка на книгу")</f>
        <v>ссылка на книгу</v>
      </c>
      <c r="Y1474" s="34" t="str">
        <f>HYPERLINK("https://api-enni.alpina.ru/FilePrivilegesApproval/135","https://api-enni.alpina.ru/FilePrivilegesApproval/135")</f>
        <v>https://api-enni.alpina.ru/FilePrivilegesApproval/135</v>
      </c>
      <c r="Z1474" s="13"/>
      <c r="AT1474" s="1">
        <f t="shared" si="258"/>
        <v>0</v>
      </c>
      <c r="AU1474" s="1">
        <f t="shared" si="259"/>
        <v>0</v>
      </c>
      <c r="AV1474" s="1">
        <f t="shared" si="260"/>
        <v>0</v>
      </c>
      <c r="AW1474" s="1">
        <f t="shared" si="261"/>
        <v>0</v>
      </c>
      <c r="AX1474" s="1">
        <f t="shared" si="262"/>
        <v>0</v>
      </c>
    </row>
    <row r="1475" spans="1:50" s="1" customFormat="1" ht="24.95" customHeight="1" outlineLevel="3" x14ac:dyDescent="0.2">
      <c r="A1475" s="11"/>
      <c r="B1475" s="12">
        <v>690</v>
      </c>
      <c r="C1475" s="12">
        <v>990</v>
      </c>
      <c r="D1475" s="12">
        <v>27855</v>
      </c>
      <c r="E1475" s="13" t="s">
        <v>703</v>
      </c>
      <c r="F1475" s="13" t="s">
        <v>4825</v>
      </c>
      <c r="G1475" s="13" t="s">
        <v>56</v>
      </c>
      <c r="H1475" s="13"/>
      <c r="I1475" s="12">
        <v>2025</v>
      </c>
      <c r="J1475" s="13" t="s">
        <v>4826</v>
      </c>
      <c r="K1475" s="12">
        <v>9785961486582</v>
      </c>
      <c r="L1475" s="13" t="s">
        <v>4827</v>
      </c>
      <c r="M1475" s="12">
        <v>354</v>
      </c>
      <c r="N1475" s="14">
        <v>0.43</v>
      </c>
      <c r="O1475" s="12">
        <v>140</v>
      </c>
      <c r="P1475" s="12">
        <v>210</v>
      </c>
      <c r="Q1475" s="12">
        <v>8</v>
      </c>
      <c r="R1475" s="13" t="s">
        <v>43</v>
      </c>
      <c r="S1475" s="13"/>
      <c r="T1475" s="15">
        <v>2000</v>
      </c>
      <c r="U1475" s="13" t="s">
        <v>44</v>
      </c>
      <c r="V1475" s="13" t="s">
        <v>45</v>
      </c>
      <c r="W1475" s="12">
        <v>10</v>
      </c>
      <c r="X1475" s="33" t="str">
        <f>HYPERLINK("https://www.alpinabook.ru/catalog/book-peregovory-o-tsene","ссылка на книгу")</f>
        <v>ссылка на книгу</v>
      </c>
      <c r="Y1475" s="34" t="str">
        <f>HYPERLINK("https://api-enni.alpina.ru/FilePrivilegesApproval/284","https://api-enni.alpina.ru/FilePrivilegesApproval/284")</f>
        <v>https://api-enni.alpina.ru/FilePrivilegesApproval/284</v>
      </c>
      <c r="Z1475" s="13" t="s">
        <v>295</v>
      </c>
      <c r="AT1475" s="1">
        <f t="shared" si="258"/>
        <v>0</v>
      </c>
      <c r="AU1475" s="1">
        <f t="shared" si="259"/>
        <v>0</v>
      </c>
      <c r="AV1475" s="1">
        <f t="shared" si="260"/>
        <v>0</v>
      </c>
      <c r="AW1475" s="1">
        <f t="shared" si="261"/>
        <v>0</v>
      </c>
      <c r="AX1475" s="1">
        <f t="shared" si="262"/>
        <v>0</v>
      </c>
    </row>
    <row r="1476" spans="1:50" s="1" customFormat="1" ht="24.95" customHeight="1" outlineLevel="3" x14ac:dyDescent="0.2">
      <c r="A1476" s="11"/>
      <c r="B1476" s="12">
        <v>690</v>
      </c>
      <c r="C1476" s="12">
        <v>990</v>
      </c>
      <c r="D1476" s="12">
        <v>23769</v>
      </c>
      <c r="E1476" s="13" t="s">
        <v>4828</v>
      </c>
      <c r="F1476" s="13" t="s">
        <v>4829</v>
      </c>
      <c r="G1476" s="13" t="s">
        <v>97</v>
      </c>
      <c r="H1476" s="13"/>
      <c r="I1476" s="12">
        <v>2024</v>
      </c>
      <c r="J1476" s="13" t="s">
        <v>4830</v>
      </c>
      <c r="K1476" s="12">
        <v>9785206000030</v>
      </c>
      <c r="L1476" s="13" t="s">
        <v>4831</v>
      </c>
      <c r="M1476" s="12">
        <v>159</v>
      </c>
      <c r="N1476" s="14">
        <v>0.35</v>
      </c>
      <c r="O1476" s="12">
        <v>150</v>
      </c>
      <c r="P1476" s="12">
        <v>220</v>
      </c>
      <c r="Q1476" s="12">
        <v>10</v>
      </c>
      <c r="R1476" s="13" t="s">
        <v>43</v>
      </c>
      <c r="S1476" s="13"/>
      <c r="T1476" s="15">
        <v>1000</v>
      </c>
      <c r="U1476" s="13" t="s">
        <v>52</v>
      </c>
      <c r="V1476" s="13" t="s">
        <v>59</v>
      </c>
      <c r="W1476" s="12">
        <v>10</v>
      </c>
      <c r="X1476" s="33" t="str">
        <f>HYPERLINK("https://www.alpinabook.ru/catalog/book-prodazhi-lyudyam","ссылка на книгу")</f>
        <v>ссылка на книгу</v>
      </c>
      <c r="Y1476" s="34" t="str">
        <f>HYPERLINK("https://api-enni.alpina.ru/FilePrivilegesApproval/155","https://api-enni.alpina.ru/FilePrivilegesApproval/155")</f>
        <v>https://api-enni.alpina.ru/FilePrivilegesApproval/155</v>
      </c>
      <c r="Z1476" s="13"/>
      <c r="AT1476" s="1">
        <f t="shared" si="258"/>
        <v>0</v>
      </c>
      <c r="AU1476" s="1">
        <f t="shared" si="259"/>
        <v>0</v>
      </c>
      <c r="AV1476" s="1">
        <f t="shared" si="260"/>
        <v>0</v>
      </c>
      <c r="AW1476" s="1">
        <f t="shared" si="261"/>
        <v>0</v>
      </c>
      <c r="AX1476" s="1">
        <f t="shared" si="262"/>
        <v>0</v>
      </c>
    </row>
    <row r="1477" spans="1:50" s="1" customFormat="1" ht="24.95" customHeight="1" outlineLevel="3" x14ac:dyDescent="0.2">
      <c r="A1477" s="11"/>
      <c r="B1477" s="12">
        <v>620</v>
      </c>
      <c r="C1477" s="12">
        <v>890</v>
      </c>
      <c r="D1477" s="12">
        <v>29538</v>
      </c>
      <c r="E1477" s="13" t="s">
        <v>510</v>
      </c>
      <c r="F1477" s="13" t="s">
        <v>680</v>
      </c>
      <c r="G1477" s="13" t="s">
        <v>56</v>
      </c>
      <c r="H1477" s="13"/>
      <c r="I1477" s="12">
        <v>2025</v>
      </c>
      <c r="J1477" s="13" t="s">
        <v>681</v>
      </c>
      <c r="K1477" s="12">
        <v>9785961493719</v>
      </c>
      <c r="L1477" s="13" t="s">
        <v>682</v>
      </c>
      <c r="M1477" s="12">
        <v>278</v>
      </c>
      <c r="N1477" s="14">
        <v>0.43</v>
      </c>
      <c r="O1477" s="12">
        <v>150</v>
      </c>
      <c r="P1477" s="12">
        <v>220</v>
      </c>
      <c r="Q1477" s="12">
        <v>8</v>
      </c>
      <c r="R1477" s="13" t="s">
        <v>43</v>
      </c>
      <c r="S1477" s="13"/>
      <c r="T1477" s="15">
        <v>1000</v>
      </c>
      <c r="U1477" s="13" t="s">
        <v>52</v>
      </c>
      <c r="V1477" s="13" t="s">
        <v>64</v>
      </c>
      <c r="W1477" s="12">
        <v>10</v>
      </c>
      <c r="X1477" s="33" t="str">
        <f>HYPERLINK("https://www.alpinabook.ru/catalog/book-prodazhi-na-100","ссылка на книгу")</f>
        <v>ссылка на книгу</v>
      </c>
      <c r="Y1477" s="34" t="str">
        <f>HYPERLINK("https://api-enni.alpina.ru/FilePrivilegesApproval/121","https://api-enni.alpina.ru/FilePrivilegesApproval/121")</f>
        <v>https://api-enni.alpina.ru/FilePrivilegesApproval/121</v>
      </c>
      <c r="Z1477" s="13" t="s">
        <v>387</v>
      </c>
      <c r="AT1477" s="1">
        <f t="shared" si="258"/>
        <v>0</v>
      </c>
      <c r="AU1477" s="1">
        <f t="shared" si="259"/>
        <v>0</v>
      </c>
      <c r="AV1477" s="1">
        <f t="shared" si="260"/>
        <v>0</v>
      </c>
      <c r="AW1477" s="1">
        <f t="shared" si="261"/>
        <v>0</v>
      </c>
      <c r="AX1477" s="1">
        <f t="shared" si="262"/>
        <v>0</v>
      </c>
    </row>
    <row r="1478" spans="1:50" s="1" customFormat="1" ht="24.95" customHeight="1" outlineLevel="3" x14ac:dyDescent="0.2">
      <c r="A1478" s="11"/>
      <c r="B1478" s="12">
        <v>740</v>
      </c>
      <c r="C1478" s="15">
        <v>1090</v>
      </c>
      <c r="D1478" s="12">
        <v>21217</v>
      </c>
      <c r="E1478" s="13" t="s">
        <v>4832</v>
      </c>
      <c r="F1478" s="13" t="s">
        <v>4833</v>
      </c>
      <c r="G1478" s="13" t="s">
        <v>56</v>
      </c>
      <c r="H1478" s="13" t="s">
        <v>40</v>
      </c>
      <c r="I1478" s="12">
        <v>2025</v>
      </c>
      <c r="J1478" s="13" t="s">
        <v>4834</v>
      </c>
      <c r="K1478" s="12">
        <v>9785907394650</v>
      </c>
      <c r="L1478" s="13" t="s">
        <v>4835</v>
      </c>
      <c r="M1478" s="12">
        <v>300</v>
      </c>
      <c r="N1478" s="14">
        <v>0.47</v>
      </c>
      <c r="O1478" s="12">
        <v>170</v>
      </c>
      <c r="P1478" s="12">
        <v>240</v>
      </c>
      <c r="Q1478" s="12">
        <v>7</v>
      </c>
      <c r="R1478" s="13" t="s">
        <v>43</v>
      </c>
      <c r="S1478" s="13"/>
      <c r="T1478" s="15">
        <v>1000</v>
      </c>
      <c r="U1478" s="13" t="s">
        <v>52</v>
      </c>
      <c r="V1478" s="13" t="s">
        <v>59</v>
      </c>
      <c r="W1478" s="12">
        <v>10</v>
      </c>
      <c r="X1478" s="33" t="str">
        <f>HYPERLINK("https://www.alpinabook.ru/catalog/book-prodayushchie-voprosy","ссылка на книгу")</f>
        <v>ссылка на книгу</v>
      </c>
      <c r="Y1478" s="34" t="str">
        <f>HYPERLINK("https://api-enni.alpina.ru/FilePrivilegesApproval/155","https://api-enni.alpina.ru/FilePrivilegesApproval/155")</f>
        <v>https://api-enni.alpina.ru/FilePrivilegesApproval/155</v>
      </c>
      <c r="Z1478" s="13" t="s">
        <v>775</v>
      </c>
      <c r="AT1478" s="1">
        <f t="shared" si="258"/>
        <v>0</v>
      </c>
      <c r="AU1478" s="1">
        <f t="shared" si="259"/>
        <v>0</v>
      </c>
      <c r="AV1478" s="1">
        <f t="shared" si="260"/>
        <v>0</v>
      </c>
      <c r="AW1478" s="1">
        <f t="shared" si="261"/>
        <v>0</v>
      </c>
      <c r="AX1478" s="1">
        <f t="shared" si="262"/>
        <v>0</v>
      </c>
    </row>
    <row r="1479" spans="1:50" s="1" customFormat="1" ht="24.95" customHeight="1" outlineLevel="3" x14ac:dyDescent="0.2">
      <c r="A1479" s="11"/>
      <c r="B1479" s="12">
        <v>740</v>
      </c>
      <c r="C1479" s="15">
        <v>1090</v>
      </c>
      <c r="D1479" s="12">
        <v>24601</v>
      </c>
      <c r="E1479" s="13" t="s">
        <v>4836</v>
      </c>
      <c r="F1479" s="13" t="s">
        <v>4837</v>
      </c>
      <c r="G1479" s="13" t="s">
        <v>97</v>
      </c>
      <c r="H1479" s="13"/>
      <c r="I1479" s="12">
        <v>2025</v>
      </c>
      <c r="J1479" s="13" t="s">
        <v>4838</v>
      </c>
      <c r="K1479" s="12">
        <v>9785907534117</v>
      </c>
      <c r="L1479" s="13" t="s">
        <v>4839</v>
      </c>
      <c r="M1479" s="12">
        <v>188</v>
      </c>
      <c r="N1479" s="14">
        <v>0.43</v>
      </c>
      <c r="O1479" s="12">
        <v>180</v>
      </c>
      <c r="P1479" s="12">
        <v>250</v>
      </c>
      <c r="Q1479" s="12">
        <v>10</v>
      </c>
      <c r="R1479" s="13" t="s">
        <v>94</v>
      </c>
      <c r="S1479" s="13"/>
      <c r="T1479" s="15">
        <v>1000</v>
      </c>
      <c r="U1479" s="13" t="s">
        <v>52</v>
      </c>
      <c r="V1479" s="13" t="s">
        <v>59</v>
      </c>
      <c r="W1479" s="12">
        <v>10</v>
      </c>
      <c r="X1479" s="33" t="str">
        <f>HYPERLINK("https://www.alpinabook.ru/catalog/book-razgnevannyy-klient-ya-lyublyu-tebya","ссылка на книгу")</f>
        <v>ссылка на книгу</v>
      </c>
      <c r="Y1479" s="34" t="str">
        <f>HYPERLINK("https://api-enni.alpina.ru/FilePrivilegesApproval/129","https://api-enni.alpina.ru/FilePrivilegesApproval/129")</f>
        <v>https://api-enni.alpina.ru/FilePrivilegesApproval/129</v>
      </c>
      <c r="Z1479" s="13" t="s">
        <v>392</v>
      </c>
      <c r="AT1479" s="1">
        <f t="shared" si="258"/>
        <v>0</v>
      </c>
      <c r="AU1479" s="1">
        <f t="shared" si="259"/>
        <v>0</v>
      </c>
      <c r="AV1479" s="1">
        <f t="shared" si="260"/>
        <v>0</v>
      </c>
      <c r="AW1479" s="1">
        <f t="shared" si="261"/>
        <v>0</v>
      </c>
      <c r="AX1479" s="1">
        <f t="shared" si="262"/>
        <v>0</v>
      </c>
    </row>
    <row r="1480" spans="1:50" s="1" customFormat="1" ht="24.95" customHeight="1" outlineLevel="3" x14ac:dyDescent="0.2">
      <c r="A1480" s="11"/>
      <c r="B1480" s="12">
        <v>940</v>
      </c>
      <c r="C1480" s="15">
        <v>1390</v>
      </c>
      <c r="D1480" s="12">
        <v>28541</v>
      </c>
      <c r="E1480" s="13" t="s">
        <v>4840</v>
      </c>
      <c r="F1480" s="13" t="s">
        <v>4841</v>
      </c>
      <c r="G1480" s="13" t="s">
        <v>97</v>
      </c>
      <c r="H1480" s="13"/>
      <c r="I1480" s="12">
        <v>2023</v>
      </c>
      <c r="J1480" s="13" t="s">
        <v>4842</v>
      </c>
      <c r="K1480" s="12">
        <v>9785206002133</v>
      </c>
      <c r="L1480" s="13" t="s">
        <v>4843</v>
      </c>
      <c r="M1480" s="12">
        <v>403</v>
      </c>
      <c r="N1480" s="14">
        <v>0.56999999999999995</v>
      </c>
      <c r="O1480" s="12">
        <v>150</v>
      </c>
      <c r="P1480" s="12">
        <v>220</v>
      </c>
      <c r="Q1480" s="12">
        <v>4</v>
      </c>
      <c r="R1480" s="13" t="s">
        <v>43</v>
      </c>
      <c r="S1480" s="13"/>
      <c r="T1480" s="15">
        <v>3005</v>
      </c>
      <c r="U1480" s="13" t="s">
        <v>52</v>
      </c>
      <c r="V1480" s="13" t="s">
        <v>45</v>
      </c>
      <c r="W1480" s="12">
        <v>10</v>
      </c>
      <c r="X1480" s="33" t="str">
        <f>HYPERLINK("https://www.alpinabook.ru/catalog/book-razumnyy-setevoy-marketing-teoriya-i-praktika","ссылка на книгу")</f>
        <v>ссылка на книгу</v>
      </c>
      <c r="Y1480" s="34" t="str">
        <f>HYPERLINK("https://api-enni.alpina.ru/FilePrivilegesApproval/316","https://api-enni.alpina.ru/FilePrivilegesApproval/316")</f>
        <v>https://api-enni.alpina.ru/FilePrivilegesApproval/316</v>
      </c>
      <c r="Z1480" s="13"/>
      <c r="AT1480" s="1">
        <f t="shared" si="258"/>
        <v>0</v>
      </c>
      <c r="AU1480" s="1">
        <f t="shared" si="259"/>
        <v>0</v>
      </c>
      <c r="AV1480" s="1">
        <f t="shared" si="260"/>
        <v>0</v>
      </c>
      <c r="AW1480" s="1">
        <f t="shared" si="261"/>
        <v>0</v>
      </c>
      <c r="AX1480" s="1">
        <f t="shared" si="262"/>
        <v>0</v>
      </c>
    </row>
    <row r="1481" spans="1:50" s="1" customFormat="1" ht="24.95" customHeight="1" outlineLevel="3" x14ac:dyDescent="0.2">
      <c r="A1481" s="26"/>
      <c r="B1481" s="27">
        <v>590</v>
      </c>
      <c r="C1481" s="27">
        <v>840</v>
      </c>
      <c r="D1481" s="27">
        <v>18947</v>
      </c>
      <c r="E1481" s="29" t="s">
        <v>703</v>
      </c>
      <c r="F1481" s="29" t="s">
        <v>704</v>
      </c>
      <c r="G1481" s="29" t="s">
        <v>56</v>
      </c>
      <c r="H1481" s="29"/>
      <c r="I1481" s="27">
        <v>2025</v>
      </c>
      <c r="J1481" s="29" t="s">
        <v>705</v>
      </c>
      <c r="K1481" s="27">
        <v>9785961438451</v>
      </c>
      <c r="L1481" s="29" t="s">
        <v>706</v>
      </c>
      <c r="M1481" s="27">
        <v>304</v>
      </c>
      <c r="N1481" s="30">
        <v>0.55000000000000004</v>
      </c>
      <c r="O1481" s="27">
        <v>146</v>
      </c>
      <c r="P1481" s="27">
        <v>216</v>
      </c>
      <c r="Q1481" s="27">
        <v>5</v>
      </c>
      <c r="R1481" s="29" t="s">
        <v>43</v>
      </c>
      <c r="S1481" s="29"/>
      <c r="T1481" s="28">
        <v>1000</v>
      </c>
      <c r="U1481" s="29" t="s">
        <v>52</v>
      </c>
      <c r="V1481" s="29" t="s">
        <v>59</v>
      </c>
      <c r="W1481" s="27">
        <v>10</v>
      </c>
      <c r="X1481" s="37" t="str">
        <f>HYPERLINK("https://www.alpinabook.ru/catalog/book-sbor-dolgov","ссылка на книгу")</f>
        <v>ссылка на книгу</v>
      </c>
      <c r="Y1481" s="38" t="str">
        <f>HYPERLINK("https://api-enni.alpina.ru/FilePrivilegesApproval/72","https://api-enni.alpina.ru/FilePrivilegesApproval/72")</f>
        <v>https://api-enni.alpina.ru/FilePrivilegesApproval/72</v>
      </c>
      <c r="Z1481" s="29" t="s">
        <v>65</v>
      </c>
      <c r="AT1481" s="1">
        <f t="shared" si="258"/>
        <v>0</v>
      </c>
      <c r="AU1481" s="1">
        <f t="shared" si="259"/>
        <v>0</v>
      </c>
      <c r="AV1481" s="1">
        <f t="shared" si="260"/>
        <v>0</v>
      </c>
      <c r="AW1481" s="1">
        <f t="shared" si="261"/>
        <v>0</v>
      </c>
      <c r="AX1481" s="1">
        <f t="shared" si="262"/>
        <v>0</v>
      </c>
    </row>
    <row r="1482" spans="1:50" s="1" customFormat="1" ht="21.95" customHeight="1" outlineLevel="3" x14ac:dyDescent="0.2">
      <c r="A1482" s="11"/>
      <c r="B1482" s="12">
        <v>340</v>
      </c>
      <c r="C1482" s="12">
        <v>340</v>
      </c>
      <c r="D1482" s="12">
        <v>11148</v>
      </c>
      <c r="E1482" s="13" t="s">
        <v>4844</v>
      </c>
      <c r="F1482" s="13" t="s">
        <v>4845</v>
      </c>
      <c r="G1482" s="13" t="s">
        <v>97</v>
      </c>
      <c r="H1482" s="13"/>
      <c r="I1482" s="12">
        <v>2018</v>
      </c>
      <c r="J1482" s="13" t="s">
        <v>4846</v>
      </c>
      <c r="K1482" s="12">
        <v>9785950096280</v>
      </c>
      <c r="L1482" s="13" t="s">
        <v>4847</v>
      </c>
      <c r="M1482" s="12">
        <v>56</v>
      </c>
      <c r="N1482" s="14">
        <v>0.12</v>
      </c>
      <c r="O1482" s="12">
        <v>163</v>
      </c>
      <c r="P1482" s="12">
        <v>235</v>
      </c>
      <c r="Q1482" s="12">
        <v>20</v>
      </c>
      <c r="R1482" s="13" t="s">
        <v>94</v>
      </c>
      <c r="S1482" s="13"/>
      <c r="T1482" s="15">
        <v>1500</v>
      </c>
      <c r="U1482" s="13" t="s">
        <v>44</v>
      </c>
      <c r="V1482" s="13" t="s">
        <v>64</v>
      </c>
      <c r="W1482" s="12">
        <v>10</v>
      </c>
      <c r="X1482" s="33" t="str">
        <f>HYPERLINK("https://www.alpinabook.ru/catalog/book-492980","ссылка на книгу")</f>
        <v>ссылка на книгу</v>
      </c>
      <c r="Y1482" s="34" t="str">
        <f>HYPERLINK("","")</f>
        <v/>
      </c>
      <c r="Z1482" s="13"/>
      <c r="AT1482" s="1">
        <f t="shared" si="258"/>
        <v>0</v>
      </c>
      <c r="AU1482" s="1">
        <f t="shared" si="259"/>
        <v>0</v>
      </c>
      <c r="AV1482" s="1">
        <f t="shared" si="260"/>
        <v>0</v>
      </c>
      <c r="AW1482" s="1">
        <f t="shared" si="261"/>
        <v>0</v>
      </c>
      <c r="AX1482" s="1">
        <f t="shared" si="262"/>
        <v>0</v>
      </c>
    </row>
    <row r="1483" spans="1:50" s="1" customFormat="1" ht="24.95" customHeight="1" outlineLevel="3" x14ac:dyDescent="0.2">
      <c r="A1483" s="11"/>
      <c r="B1483" s="12">
        <v>690</v>
      </c>
      <c r="C1483" s="12">
        <v>990</v>
      </c>
      <c r="D1483" s="12">
        <v>5653</v>
      </c>
      <c r="E1483" s="13" t="s">
        <v>703</v>
      </c>
      <c r="F1483" s="13" t="s">
        <v>4848</v>
      </c>
      <c r="G1483" s="13" t="s">
        <v>56</v>
      </c>
      <c r="H1483" s="13"/>
      <c r="I1483" s="12">
        <v>2025</v>
      </c>
      <c r="J1483" s="13" t="s">
        <v>4849</v>
      </c>
      <c r="K1483" s="12">
        <v>9785961469226</v>
      </c>
      <c r="L1483" s="13" t="s">
        <v>4850</v>
      </c>
      <c r="M1483" s="12">
        <v>230</v>
      </c>
      <c r="N1483" s="14">
        <v>0.49</v>
      </c>
      <c r="O1483" s="12">
        <v>160</v>
      </c>
      <c r="P1483" s="12">
        <v>220</v>
      </c>
      <c r="Q1483" s="12">
        <v>10</v>
      </c>
      <c r="R1483" s="13" t="s">
        <v>43</v>
      </c>
      <c r="S1483" s="13"/>
      <c r="T1483" s="15">
        <v>1000</v>
      </c>
      <c r="U1483" s="13" t="s">
        <v>52</v>
      </c>
      <c r="V1483" s="13" t="s">
        <v>64</v>
      </c>
      <c r="W1483" s="12">
        <v>10</v>
      </c>
      <c r="X1483" s="33" t="str">
        <f>HYPERLINK("https://www.alpinabook.ru/catalog/book-skripty-prodazh","ссылка на книгу")</f>
        <v>ссылка на книгу</v>
      </c>
      <c r="Y1483" s="34" t="str">
        <f>HYPERLINK("https://api-enni.alpina.ru/FilePrivilegesApproval/152","https://api-enni.alpina.ru/FilePrivilegesApproval/152")</f>
        <v>https://api-enni.alpina.ru/FilePrivilegesApproval/152</v>
      </c>
      <c r="Z1483" s="13" t="s">
        <v>77</v>
      </c>
      <c r="AT1483" s="1">
        <f t="shared" si="258"/>
        <v>0</v>
      </c>
      <c r="AU1483" s="1">
        <f t="shared" si="259"/>
        <v>0</v>
      </c>
      <c r="AV1483" s="1">
        <f t="shared" si="260"/>
        <v>0</v>
      </c>
      <c r="AW1483" s="1">
        <f t="shared" si="261"/>
        <v>0</v>
      </c>
      <c r="AX1483" s="1">
        <f t="shared" si="262"/>
        <v>0</v>
      </c>
    </row>
    <row r="1484" spans="1:50" s="1" customFormat="1" ht="24.95" customHeight="1" outlineLevel="3" x14ac:dyDescent="0.2">
      <c r="A1484" s="26"/>
      <c r="B1484" s="27">
        <v>840</v>
      </c>
      <c r="C1484" s="27">
        <v>840</v>
      </c>
      <c r="D1484" s="27">
        <v>23456</v>
      </c>
      <c r="E1484" s="29" t="s">
        <v>4851</v>
      </c>
      <c r="F1484" s="29" t="s">
        <v>4852</v>
      </c>
      <c r="G1484" s="29" t="s">
        <v>56</v>
      </c>
      <c r="H1484" s="29" t="s">
        <v>40</v>
      </c>
      <c r="I1484" s="27">
        <v>2024</v>
      </c>
      <c r="J1484" s="29" t="s">
        <v>4853</v>
      </c>
      <c r="K1484" s="27">
        <v>9785206000269</v>
      </c>
      <c r="L1484" s="29" t="s">
        <v>4854</v>
      </c>
      <c r="M1484" s="27">
        <v>389</v>
      </c>
      <c r="N1484" s="30">
        <v>0.75</v>
      </c>
      <c r="O1484" s="27">
        <v>170</v>
      </c>
      <c r="P1484" s="27">
        <v>250</v>
      </c>
      <c r="Q1484" s="27">
        <v>5</v>
      </c>
      <c r="R1484" s="29" t="s">
        <v>94</v>
      </c>
      <c r="S1484" s="29"/>
      <c r="T1484" s="28">
        <v>1000</v>
      </c>
      <c r="U1484" s="29" t="s">
        <v>52</v>
      </c>
      <c r="V1484" s="29" t="s">
        <v>64</v>
      </c>
      <c r="W1484" s="27">
        <v>10</v>
      </c>
      <c r="X1484" s="37" t="str">
        <f>HYPERLINK("https://www.alpinabook.ru/catalog/book-spetsializirovannyy-magazin","ссылка на книгу")</f>
        <v>ссылка на книгу</v>
      </c>
      <c r="Y1484" s="38" t="str">
        <f>HYPERLINK("https://api-enni.alpina.ru/FilePrivilegesApproval/168","https://api-enni.alpina.ru/FilePrivilegesApproval/168")</f>
        <v>https://api-enni.alpina.ru/FilePrivilegesApproval/168</v>
      </c>
      <c r="Z1484" s="29"/>
      <c r="AT1484" s="1">
        <f t="shared" si="258"/>
        <v>0</v>
      </c>
      <c r="AU1484" s="1">
        <f t="shared" si="259"/>
        <v>0</v>
      </c>
      <c r="AV1484" s="1">
        <f t="shared" si="260"/>
        <v>0</v>
      </c>
      <c r="AW1484" s="1">
        <f t="shared" si="261"/>
        <v>0</v>
      </c>
      <c r="AX1484" s="1">
        <f t="shared" si="262"/>
        <v>0</v>
      </c>
    </row>
    <row r="1485" spans="1:50" s="1" customFormat="1" ht="24.95" customHeight="1" outlineLevel="3" x14ac:dyDescent="0.2">
      <c r="A1485" s="11"/>
      <c r="B1485" s="12">
        <v>840</v>
      </c>
      <c r="C1485" s="15">
        <v>1290</v>
      </c>
      <c r="D1485" s="12">
        <v>31308</v>
      </c>
      <c r="E1485" s="13" t="s">
        <v>4855</v>
      </c>
      <c r="F1485" s="13" t="s">
        <v>4856</v>
      </c>
      <c r="G1485" s="13" t="s">
        <v>97</v>
      </c>
      <c r="H1485" s="13"/>
      <c r="I1485" s="12">
        <v>2024</v>
      </c>
      <c r="J1485" s="13" t="s">
        <v>4857</v>
      </c>
      <c r="K1485" s="12">
        <v>9785206003635</v>
      </c>
      <c r="L1485" s="13" t="s">
        <v>4858</v>
      </c>
      <c r="M1485" s="12">
        <v>352</v>
      </c>
      <c r="N1485" s="14">
        <v>0.52</v>
      </c>
      <c r="O1485" s="12">
        <v>150</v>
      </c>
      <c r="P1485" s="12">
        <v>220</v>
      </c>
      <c r="Q1485" s="12">
        <v>5</v>
      </c>
      <c r="R1485" s="13" t="s">
        <v>43</v>
      </c>
      <c r="S1485" s="13"/>
      <c r="T1485" s="15">
        <v>2005</v>
      </c>
      <c r="U1485" s="13" t="s">
        <v>52</v>
      </c>
      <c r="V1485" s="13" t="s">
        <v>45</v>
      </c>
      <c r="W1485" s="12">
        <v>10</v>
      </c>
      <c r="X1485" s="33" t="str">
        <f>HYPERLINK("https://www.alpinabook.ru/catalog/book-stan-mlm-liderom","ссылка на книгу")</f>
        <v>ссылка на книгу</v>
      </c>
      <c r="Y1485" s="34" t="str">
        <f>HYPERLINK("https://api-enni.alpina.ru/FilePrivilegesApproval/708","https://api-enni.alpina.ru/FilePrivilegesApproval/708")</f>
        <v>https://api-enni.alpina.ru/FilePrivilegesApproval/708</v>
      </c>
      <c r="Z1485" s="13"/>
      <c r="AT1485" s="1">
        <f t="shared" si="258"/>
        <v>0</v>
      </c>
      <c r="AU1485" s="1">
        <f t="shared" si="259"/>
        <v>0</v>
      </c>
      <c r="AV1485" s="1">
        <f t="shared" si="260"/>
        <v>0</v>
      </c>
      <c r="AW1485" s="1">
        <f t="shared" si="261"/>
        <v>0</v>
      </c>
      <c r="AX1485" s="1">
        <f t="shared" si="262"/>
        <v>0</v>
      </c>
    </row>
    <row r="1486" spans="1:50" s="1" customFormat="1" ht="24.95" customHeight="1" outlineLevel="3" x14ac:dyDescent="0.2">
      <c r="A1486" s="11"/>
      <c r="B1486" s="15">
        <v>1090</v>
      </c>
      <c r="C1486" s="15">
        <v>1590</v>
      </c>
      <c r="D1486" s="12">
        <v>32924</v>
      </c>
      <c r="E1486" s="13" t="s">
        <v>1931</v>
      </c>
      <c r="F1486" s="13" t="s">
        <v>4859</v>
      </c>
      <c r="G1486" s="13" t="s">
        <v>97</v>
      </c>
      <c r="H1486" s="13"/>
      <c r="I1486" s="12">
        <v>2025</v>
      </c>
      <c r="J1486" s="13" t="s">
        <v>4860</v>
      </c>
      <c r="K1486" s="12">
        <v>9785206004441</v>
      </c>
      <c r="L1486" s="13" t="s">
        <v>4861</v>
      </c>
      <c r="M1486" s="12">
        <v>342</v>
      </c>
      <c r="N1486" s="14">
        <v>0.51</v>
      </c>
      <c r="O1486" s="12">
        <v>150</v>
      </c>
      <c r="P1486" s="12">
        <v>220</v>
      </c>
      <c r="Q1486" s="12">
        <v>5</v>
      </c>
      <c r="R1486" s="13" t="s">
        <v>43</v>
      </c>
      <c r="S1486" s="13"/>
      <c r="T1486" s="15">
        <v>1500</v>
      </c>
      <c r="U1486" s="13" t="s">
        <v>52</v>
      </c>
      <c r="V1486" s="13" t="s">
        <v>59</v>
      </c>
      <c r="W1486" s="12">
        <v>10</v>
      </c>
      <c r="X1486" s="33" t="str">
        <f>HYPERLINK("https://www.alpinabook.ru/catalog/book-strategicheskie-zakupki","ссылка на книгу")</f>
        <v>ссылка на книгу</v>
      </c>
      <c r="Y1486" s="34" t="str">
        <f>HYPERLINK("https://api-enni.alpina.ru/FilePrivilegesApproval/863","https://api-enni.alpina.ru/FilePrivilegesApproval/863")</f>
        <v>https://api-enni.alpina.ru/FilePrivilegesApproval/863</v>
      </c>
      <c r="Z1486" s="13" t="s">
        <v>1406</v>
      </c>
      <c r="AT1486" s="1">
        <f t="shared" si="258"/>
        <v>0</v>
      </c>
      <c r="AU1486" s="1">
        <f t="shared" si="259"/>
        <v>0</v>
      </c>
      <c r="AV1486" s="1">
        <f t="shared" si="260"/>
        <v>0</v>
      </c>
      <c r="AW1486" s="1">
        <f t="shared" si="261"/>
        <v>0</v>
      </c>
      <c r="AX1486" s="1">
        <f t="shared" si="262"/>
        <v>0</v>
      </c>
    </row>
    <row r="1487" spans="1:50" s="1" customFormat="1" ht="24.95" customHeight="1" outlineLevel="3" x14ac:dyDescent="0.2">
      <c r="A1487" s="26"/>
      <c r="B1487" s="28">
        <v>1190</v>
      </c>
      <c r="C1487" s="28">
        <v>1690</v>
      </c>
      <c r="D1487" s="27">
        <v>8738</v>
      </c>
      <c r="E1487" s="29" t="s">
        <v>4862</v>
      </c>
      <c r="F1487" s="29" t="s">
        <v>4863</v>
      </c>
      <c r="G1487" s="29" t="s">
        <v>97</v>
      </c>
      <c r="H1487" s="29"/>
      <c r="I1487" s="27">
        <v>2024</v>
      </c>
      <c r="J1487" s="29" t="s">
        <v>4864</v>
      </c>
      <c r="K1487" s="27">
        <v>9785961469455</v>
      </c>
      <c r="L1487" s="29" t="s">
        <v>4865</v>
      </c>
      <c r="M1487" s="27">
        <v>266</v>
      </c>
      <c r="N1487" s="30">
        <v>0.43</v>
      </c>
      <c r="O1487" s="27">
        <v>160</v>
      </c>
      <c r="P1487" s="27">
        <v>220</v>
      </c>
      <c r="Q1487" s="27">
        <v>5</v>
      </c>
      <c r="R1487" s="29" t="s">
        <v>43</v>
      </c>
      <c r="S1487" s="29"/>
      <c r="T1487" s="28">
        <v>1000</v>
      </c>
      <c r="U1487" s="29" t="s">
        <v>52</v>
      </c>
      <c r="V1487" s="29" t="s">
        <v>64</v>
      </c>
      <c r="W1487" s="27">
        <v>10</v>
      </c>
      <c r="X1487" s="37" t="str">
        <f>HYPERLINK("https://www.alpinabook.ru/catalog/book-tekhnika-prodazh-krupnym-klientam","ссылка на книгу")</f>
        <v>ссылка на книгу</v>
      </c>
      <c r="Y1487" s="38" t="str">
        <f>HYPERLINK("https://api-enni.alpina.ru/FilePrivilegesApproval/2","https://api-enni.alpina.ru/FilePrivilegesApproval/2")</f>
        <v>https://api-enni.alpina.ru/FilePrivilegesApproval/2</v>
      </c>
      <c r="Z1487" s="29"/>
      <c r="AT1487" s="1">
        <f t="shared" si="258"/>
        <v>0</v>
      </c>
      <c r="AU1487" s="1">
        <f t="shared" si="259"/>
        <v>0</v>
      </c>
      <c r="AV1487" s="1">
        <f t="shared" si="260"/>
        <v>0</v>
      </c>
      <c r="AW1487" s="1">
        <f t="shared" si="261"/>
        <v>0</v>
      </c>
      <c r="AX1487" s="1">
        <f t="shared" si="262"/>
        <v>0</v>
      </c>
    </row>
    <row r="1488" spans="1:50" s="1" customFormat="1" ht="24.95" customHeight="1" outlineLevel="3" x14ac:dyDescent="0.2">
      <c r="A1488" s="26"/>
      <c r="B1488" s="27">
        <v>690</v>
      </c>
      <c r="C1488" s="27">
        <v>990</v>
      </c>
      <c r="D1488" s="27">
        <v>20849</v>
      </c>
      <c r="E1488" s="29" t="s">
        <v>4866</v>
      </c>
      <c r="F1488" s="29" t="s">
        <v>4867</v>
      </c>
      <c r="G1488" s="29" t="s">
        <v>97</v>
      </c>
      <c r="H1488" s="29"/>
      <c r="I1488" s="27">
        <v>2024</v>
      </c>
      <c r="J1488" s="29" t="s">
        <v>4868</v>
      </c>
      <c r="K1488" s="27">
        <v>9785907470132</v>
      </c>
      <c r="L1488" s="29" t="s">
        <v>4869</v>
      </c>
      <c r="M1488" s="27">
        <v>240</v>
      </c>
      <c r="N1488" s="30">
        <v>0.4</v>
      </c>
      <c r="O1488" s="27">
        <v>150</v>
      </c>
      <c r="P1488" s="27">
        <v>220</v>
      </c>
      <c r="Q1488" s="27">
        <v>6</v>
      </c>
      <c r="R1488" s="29" t="s">
        <v>43</v>
      </c>
      <c r="S1488" s="29"/>
      <c r="T1488" s="28">
        <v>1000</v>
      </c>
      <c r="U1488" s="29" t="s">
        <v>52</v>
      </c>
      <c r="V1488" s="29" t="s">
        <v>59</v>
      </c>
      <c r="W1488" s="27">
        <v>10</v>
      </c>
      <c r="X1488" s="37" t="str">
        <f>HYPERLINK("https://www.alpinabook.ru/catalog/book-tishe-govorit-klient","ссылка на книгу")</f>
        <v>ссылка на книгу</v>
      </c>
      <c r="Y1488" s="38" t="str">
        <f>HYPERLINK("https://api-enni.alpina.ru/FilePrivilegesApproval/120","https://api-enni.alpina.ru/FilePrivilegesApproval/120")</f>
        <v>https://api-enni.alpina.ru/FilePrivilegesApproval/120</v>
      </c>
      <c r="Z1488" s="29"/>
      <c r="AT1488" s="1">
        <f t="shared" si="258"/>
        <v>0</v>
      </c>
      <c r="AU1488" s="1">
        <f t="shared" si="259"/>
        <v>0</v>
      </c>
      <c r="AV1488" s="1">
        <f t="shared" si="260"/>
        <v>0</v>
      </c>
      <c r="AW1488" s="1">
        <f t="shared" si="261"/>
        <v>0</v>
      </c>
      <c r="AX1488" s="1">
        <f t="shared" si="262"/>
        <v>0</v>
      </c>
    </row>
    <row r="1489" spans="1:50" s="1" customFormat="1" ht="24.95" customHeight="1" outlineLevel="3" x14ac:dyDescent="0.2">
      <c r="A1489" s="26"/>
      <c r="B1489" s="27">
        <v>790</v>
      </c>
      <c r="C1489" s="28">
        <v>1190</v>
      </c>
      <c r="D1489" s="27">
        <v>28636</v>
      </c>
      <c r="E1489" s="29" t="s">
        <v>4870</v>
      </c>
      <c r="F1489" s="29" t="s">
        <v>4871</v>
      </c>
      <c r="G1489" s="29" t="s">
        <v>56</v>
      </c>
      <c r="H1489" s="29"/>
      <c r="I1489" s="27">
        <v>2025</v>
      </c>
      <c r="J1489" s="29" t="s">
        <v>4872</v>
      </c>
      <c r="K1489" s="27">
        <v>9785961489569</v>
      </c>
      <c r="L1489" s="29" t="s">
        <v>4873</v>
      </c>
      <c r="M1489" s="27">
        <v>144</v>
      </c>
      <c r="N1489" s="30">
        <v>0.25</v>
      </c>
      <c r="O1489" s="27">
        <v>140</v>
      </c>
      <c r="P1489" s="27">
        <v>210</v>
      </c>
      <c r="Q1489" s="27">
        <v>10</v>
      </c>
      <c r="R1489" s="29" t="s">
        <v>82</v>
      </c>
      <c r="S1489" s="29"/>
      <c r="T1489" s="28">
        <v>1000</v>
      </c>
      <c r="U1489" s="29" t="s">
        <v>52</v>
      </c>
      <c r="V1489" s="29" t="s">
        <v>64</v>
      </c>
      <c r="W1489" s="27">
        <v>10</v>
      </c>
      <c r="X1489" s="37" t="str">
        <f>HYPERLINK("https://www.alpinabook.ru/catalog/book-udvoenie-lichnykh-prodazh","ссылка на книгу")</f>
        <v>ссылка на книгу</v>
      </c>
      <c r="Y1489" s="38" t="str">
        <f>HYPERLINK("https://api-enni.alpina.ru/FilePrivilegesApproval/124","https://api-enni.alpina.ru/FilePrivilegesApproval/124")</f>
        <v>https://api-enni.alpina.ru/FilePrivilegesApproval/124</v>
      </c>
      <c r="Z1489" s="29" t="s">
        <v>567</v>
      </c>
      <c r="AT1489" s="1">
        <f t="shared" si="258"/>
        <v>0</v>
      </c>
      <c r="AU1489" s="1">
        <f t="shared" si="259"/>
        <v>0</v>
      </c>
      <c r="AV1489" s="1">
        <f t="shared" si="260"/>
        <v>0</v>
      </c>
      <c r="AW1489" s="1">
        <f t="shared" si="261"/>
        <v>0</v>
      </c>
      <c r="AX1489" s="1">
        <f t="shared" si="262"/>
        <v>0</v>
      </c>
    </row>
    <row r="1490" spans="1:50" s="1" customFormat="1" ht="24.95" customHeight="1" outlineLevel="3" x14ac:dyDescent="0.2">
      <c r="A1490" s="11"/>
      <c r="B1490" s="12">
        <v>940</v>
      </c>
      <c r="C1490" s="15">
        <v>1390</v>
      </c>
      <c r="D1490" s="12">
        <v>25557</v>
      </c>
      <c r="E1490" s="13" t="s">
        <v>4874</v>
      </c>
      <c r="F1490" s="13" t="s">
        <v>4875</v>
      </c>
      <c r="G1490" s="13" t="s">
        <v>97</v>
      </c>
      <c r="H1490" s="13" t="s">
        <v>40</v>
      </c>
      <c r="I1490" s="12">
        <v>2025</v>
      </c>
      <c r="J1490" s="13" t="s">
        <v>4876</v>
      </c>
      <c r="K1490" s="12">
        <v>9785206000023</v>
      </c>
      <c r="L1490" s="13" t="s">
        <v>4877</v>
      </c>
      <c r="M1490" s="12">
        <v>366</v>
      </c>
      <c r="N1490" s="14">
        <v>0.7</v>
      </c>
      <c r="O1490" s="12">
        <v>170</v>
      </c>
      <c r="P1490" s="12">
        <v>250</v>
      </c>
      <c r="Q1490" s="12">
        <v>5</v>
      </c>
      <c r="R1490" s="13" t="s">
        <v>94</v>
      </c>
      <c r="S1490" s="13"/>
      <c r="T1490" s="15">
        <v>1000</v>
      </c>
      <c r="U1490" s="13" t="s">
        <v>52</v>
      </c>
      <c r="V1490" s="13" t="s">
        <v>59</v>
      </c>
      <c r="W1490" s="12">
        <v>10</v>
      </c>
      <c r="X1490" s="33" t="str">
        <f>HYPERLINK("https://www.alpinabook.ru/catalog/book-upravlenie-tsepochkami-postavok","ссылка на книгу")</f>
        <v>ссылка на книгу</v>
      </c>
      <c r="Y1490" s="34" t="str">
        <f>HYPERLINK("https://api-enni.alpina.ru/FilePrivilegesApproval/139","https://api-enni.alpina.ru/FilePrivilegesApproval/139")</f>
        <v>https://api-enni.alpina.ru/FilePrivilegesApproval/139</v>
      </c>
      <c r="Z1490" s="13" t="s">
        <v>1254</v>
      </c>
      <c r="AT1490" s="1">
        <f t="shared" si="258"/>
        <v>0</v>
      </c>
      <c r="AU1490" s="1">
        <f t="shared" si="259"/>
        <v>0</v>
      </c>
      <c r="AV1490" s="1">
        <f t="shared" si="260"/>
        <v>0</v>
      </c>
      <c r="AW1490" s="1">
        <f t="shared" si="261"/>
        <v>0</v>
      </c>
      <c r="AX1490" s="1">
        <f t="shared" si="262"/>
        <v>0</v>
      </c>
    </row>
    <row r="1491" spans="1:50" s="1" customFormat="1" ht="24.95" customHeight="1" outlineLevel="3" x14ac:dyDescent="0.2">
      <c r="A1491" s="11"/>
      <c r="B1491" s="12">
        <v>790</v>
      </c>
      <c r="C1491" s="15">
        <v>1190</v>
      </c>
      <c r="D1491" s="12">
        <v>5284</v>
      </c>
      <c r="E1491" s="13" t="s">
        <v>4836</v>
      </c>
      <c r="F1491" s="13" t="s">
        <v>4878</v>
      </c>
      <c r="G1491" s="13" t="s">
        <v>97</v>
      </c>
      <c r="H1491" s="13"/>
      <c r="I1491" s="12">
        <v>2024</v>
      </c>
      <c r="J1491" s="13" t="s">
        <v>4879</v>
      </c>
      <c r="K1491" s="12">
        <v>9785907394148</v>
      </c>
      <c r="L1491" s="13" t="s">
        <v>4880</v>
      </c>
      <c r="M1491" s="12">
        <v>300</v>
      </c>
      <c r="N1491" s="14">
        <v>0.62</v>
      </c>
      <c r="O1491" s="12">
        <v>170</v>
      </c>
      <c r="P1491" s="12">
        <v>240</v>
      </c>
      <c r="Q1491" s="12">
        <v>5</v>
      </c>
      <c r="R1491" s="13" t="s">
        <v>94</v>
      </c>
      <c r="S1491" s="13"/>
      <c r="T1491" s="15">
        <v>1000</v>
      </c>
      <c r="U1491" s="13" t="s">
        <v>52</v>
      </c>
      <c r="V1491" s="13" t="s">
        <v>64</v>
      </c>
      <c r="W1491" s="12">
        <v>10</v>
      </c>
      <c r="X1491" s="33" t="str">
        <f>HYPERLINK("https://www.alpinabook.ru/catalog/book-ukh-ty","ссылка на книгу")</f>
        <v>ссылка на книгу</v>
      </c>
      <c r="Y1491" s="34" t="str">
        <f>HYPERLINK("https://api-enni.alpina.ru/FilePrivilegesApproval/2","https://api-enni.alpina.ru/FilePrivilegesApproval/2")</f>
        <v>https://api-enni.alpina.ru/FilePrivilegesApproval/2</v>
      </c>
      <c r="Z1491" s="13" t="s">
        <v>53</v>
      </c>
      <c r="AT1491" s="1">
        <f t="shared" si="258"/>
        <v>0</v>
      </c>
      <c r="AU1491" s="1">
        <f t="shared" si="259"/>
        <v>0</v>
      </c>
      <c r="AV1491" s="1">
        <f t="shared" si="260"/>
        <v>0</v>
      </c>
      <c r="AW1491" s="1">
        <f t="shared" si="261"/>
        <v>0</v>
      </c>
      <c r="AX1491" s="1">
        <f t="shared" si="262"/>
        <v>0</v>
      </c>
    </row>
    <row r="1492" spans="1:50" s="1" customFormat="1" ht="24.95" customHeight="1" outlineLevel="3" x14ac:dyDescent="0.2">
      <c r="A1492" s="11"/>
      <c r="B1492" s="12">
        <v>690</v>
      </c>
      <c r="C1492" s="12">
        <v>990</v>
      </c>
      <c r="D1492" s="12">
        <v>5052</v>
      </c>
      <c r="E1492" s="13" t="s">
        <v>1550</v>
      </c>
      <c r="F1492" s="13" t="s">
        <v>4881</v>
      </c>
      <c r="G1492" s="13" t="s">
        <v>97</v>
      </c>
      <c r="H1492" s="13" t="s">
        <v>40</v>
      </c>
      <c r="I1492" s="12">
        <v>2022</v>
      </c>
      <c r="J1492" s="13" t="s">
        <v>4882</v>
      </c>
      <c r="K1492" s="12">
        <v>9785604288023</v>
      </c>
      <c r="L1492" s="13" t="s">
        <v>4883</v>
      </c>
      <c r="M1492" s="12">
        <v>254</v>
      </c>
      <c r="N1492" s="14">
        <v>0.43</v>
      </c>
      <c r="O1492" s="12">
        <v>153</v>
      </c>
      <c r="P1492" s="12">
        <v>216</v>
      </c>
      <c r="Q1492" s="12">
        <v>12</v>
      </c>
      <c r="R1492" s="13" t="s">
        <v>43</v>
      </c>
      <c r="S1492" s="13"/>
      <c r="T1492" s="15">
        <v>1000</v>
      </c>
      <c r="U1492" s="13" t="s">
        <v>52</v>
      </c>
      <c r="V1492" s="13" t="s">
        <v>64</v>
      </c>
      <c r="W1492" s="12">
        <v>10</v>
      </c>
      <c r="X1492" s="33" t="str">
        <f>HYPERLINK("https://www.alpinabook.ru/catalog/book-cheloveku-svoystvenno-prodavat","ссылка на книгу")</f>
        <v>ссылка на книгу</v>
      </c>
      <c r="Y1492" s="34" t="str">
        <f>HYPERLINK("https://api-enni.alpina.ru/FilePrivilegesApproval/332","https://api-enni.alpina.ru/FilePrivilegesApproval/332")</f>
        <v>https://api-enni.alpina.ru/FilePrivilegesApproval/332</v>
      </c>
      <c r="Z1492" s="13"/>
      <c r="AT1492" s="1">
        <f t="shared" si="258"/>
        <v>0</v>
      </c>
      <c r="AU1492" s="1">
        <f t="shared" si="259"/>
        <v>0</v>
      </c>
      <c r="AV1492" s="1">
        <f t="shared" si="260"/>
        <v>0</v>
      </c>
      <c r="AW1492" s="1">
        <f t="shared" si="261"/>
        <v>0</v>
      </c>
      <c r="AX1492" s="1">
        <f t="shared" si="262"/>
        <v>0</v>
      </c>
    </row>
    <row r="1493" spans="1:50" s="1" customFormat="1" ht="24.95" customHeight="1" outlineLevel="3" x14ac:dyDescent="0.2">
      <c r="A1493" s="11"/>
      <c r="B1493" s="12">
        <v>790</v>
      </c>
      <c r="C1493" s="15">
        <v>1190</v>
      </c>
      <c r="D1493" s="12">
        <v>32477</v>
      </c>
      <c r="E1493" s="13" t="s">
        <v>414</v>
      </c>
      <c r="F1493" s="13" t="s">
        <v>4884</v>
      </c>
      <c r="G1493" s="13" t="s">
        <v>56</v>
      </c>
      <c r="H1493" s="13"/>
      <c r="I1493" s="12">
        <v>2025</v>
      </c>
      <c r="J1493" s="13" t="s">
        <v>4885</v>
      </c>
      <c r="K1493" s="12">
        <v>9785006302334</v>
      </c>
      <c r="L1493" s="13" t="s">
        <v>4886</v>
      </c>
      <c r="M1493" s="12">
        <v>336</v>
      </c>
      <c r="N1493" s="14">
        <v>0.66</v>
      </c>
      <c r="O1493" s="12">
        <v>170</v>
      </c>
      <c r="P1493" s="12">
        <v>240</v>
      </c>
      <c r="Q1493" s="12">
        <v>5</v>
      </c>
      <c r="R1493" s="13" t="s">
        <v>94</v>
      </c>
      <c r="S1493" s="13"/>
      <c r="T1493" s="15">
        <v>1000</v>
      </c>
      <c r="U1493" s="13" t="s">
        <v>52</v>
      </c>
      <c r="V1493" s="13" t="s">
        <v>64</v>
      </c>
      <c r="W1493" s="12">
        <v>10</v>
      </c>
      <c r="X1493" s="33" t="str">
        <f>HYPERLINK("https://www.alpinabook.ru/catalog/book-ekspertnye-prodazhi","ссылка на книгу")</f>
        <v>ссылка на книгу</v>
      </c>
      <c r="Y1493" s="34" t="str">
        <f>HYPERLINK("https://api-enni.alpina.ru/FilePrivilegesApproval/55","https://api-enni.alpina.ru/FilePrivilegesApproval/55")</f>
        <v>https://api-enni.alpina.ru/FilePrivilegesApproval/55</v>
      </c>
      <c r="Z1493" s="13" t="s">
        <v>954</v>
      </c>
      <c r="AT1493" s="1">
        <f t="shared" si="258"/>
        <v>0</v>
      </c>
      <c r="AU1493" s="1">
        <f t="shared" si="259"/>
        <v>0</v>
      </c>
      <c r="AV1493" s="1">
        <f t="shared" si="260"/>
        <v>0</v>
      </c>
      <c r="AW1493" s="1">
        <f t="shared" si="261"/>
        <v>0</v>
      </c>
      <c r="AX1493" s="1">
        <f t="shared" si="262"/>
        <v>0</v>
      </c>
    </row>
    <row r="1494" spans="1:50" ht="11.1" customHeight="1" outlineLevel="2" x14ac:dyDescent="0.2">
      <c r="A1494" s="40" t="s">
        <v>4887</v>
      </c>
      <c r="B1494" s="40"/>
      <c r="C1494" s="40"/>
      <c r="D1494" s="40"/>
      <c r="E1494" s="40"/>
      <c r="F1494" s="40"/>
      <c r="G1494" s="40"/>
      <c r="H1494" s="40"/>
      <c r="I1494" s="40"/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20"/>
    </row>
    <row r="1495" spans="1:50" s="1" customFormat="1" ht="24.95" customHeight="1" outlineLevel="3" x14ac:dyDescent="0.2">
      <c r="A1495" s="11"/>
      <c r="B1495" s="12">
        <v>530</v>
      </c>
      <c r="C1495" s="12">
        <v>990</v>
      </c>
      <c r="D1495" s="12">
        <v>17210</v>
      </c>
      <c r="E1495" s="13" t="s">
        <v>4888</v>
      </c>
      <c r="F1495" s="13" t="s">
        <v>4889</v>
      </c>
      <c r="G1495" s="13" t="s">
        <v>97</v>
      </c>
      <c r="H1495" s="13"/>
      <c r="I1495" s="12">
        <v>2020</v>
      </c>
      <c r="J1495" s="13" t="s">
        <v>4890</v>
      </c>
      <c r="K1495" s="12">
        <v>9785907274174</v>
      </c>
      <c r="L1495" s="13" t="s">
        <v>4891</v>
      </c>
      <c r="M1495" s="12">
        <v>472</v>
      </c>
      <c r="N1495" s="14">
        <v>0.56999999999999995</v>
      </c>
      <c r="O1495" s="12">
        <v>141</v>
      </c>
      <c r="P1495" s="12">
        <v>210</v>
      </c>
      <c r="Q1495" s="12">
        <v>8</v>
      </c>
      <c r="R1495" s="13" t="s">
        <v>43</v>
      </c>
      <c r="S1495" s="13" t="s">
        <v>4892</v>
      </c>
      <c r="T1495" s="15">
        <v>2000</v>
      </c>
      <c r="U1495" s="13" t="s">
        <v>44</v>
      </c>
      <c r="V1495" s="13" t="s">
        <v>64</v>
      </c>
      <c r="W1495" s="12">
        <v>10</v>
      </c>
      <c r="X1495" s="33" t="str">
        <f>HYPERLINK("https://www.alpinabook.ru/catalog/book-589771","ссылка на книгу")</f>
        <v>ссылка на книгу</v>
      </c>
      <c r="Y1495" s="34" t="str">
        <f>HYPERLINK("https://api-enni.alpina.ru/FilePrivilegesApproval/36","https://api-enni.alpina.ru/FilePrivilegesApproval/36")</f>
        <v>https://api-enni.alpina.ru/FilePrivilegesApproval/36</v>
      </c>
      <c r="Z1495" s="13"/>
      <c r="AT1495" s="1">
        <f t="shared" ref="AT1495:AT1509" si="263">IF($A1495&lt;&gt;0,1,0)</f>
        <v>0</v>
      </c>
      <c r="AU1495" s="1">
        <f t="shared" ref="AU1495:AU1509" si="264">$A1495*$B1495</f>
        <v>0</v>
      </c>
      <c r="AV1495" s="1">
        <f t="shared" ref="AV1495:AV1509" si="265">$A1495*$N1495</f>
        <v>0</v>
      </c>
      <c r="AW1495" s="1">
        <f t="shared" ref="AW1495:AW1509" si="266">IF($Q1495=0,0,INT($A1495/$Q1495))</f>
        <v>0</v>
      </c>
      <c r="AX1495" s="1">
        <f t="shared" ref="AX1495:AX1509" si="267">$A1495-$AW1495*$Q1495</f>
        <v>0</v>
      </c>
    </row>
    <row r="1496" spans="1:50" s="1" customFormat="1" ht="24.95" customHeight="1" outlineLevel="3" x14ac:dyDescent="0.2">
      <c r="A1496" s="11"/>
      <c r="B1496" s="12">
        <v>540</v>
      </c>
      <c r="C1496" s="12">
        <v>790</v>
      </c>
      <c r="D1496" s="12">
        <v>5460</v>
      </c>
      <c r="E1496" s="13" t="s">
        <v>4893</v>
      </c>
      <c r="F1496" s="13" t="s">
        <v>4894</v>
      </c>
      <c r="G1496" s="13" t="s">
        <v>56</v>
      </c>
      <c r="H1496" s="13" t="s">
        <v>40</v>
      </c>
      <c r="I1496" s="12">
        <v>2024</v>
      </c>
      <c r="J1496" s="13" t="s">
        <v>4895</v>
      </c>
      <c r="K1496" s="12">
        <v>9785961454024</v>
      </c>
      <c r="L1496" s="13" t="s">
        <v>4896</v>
      </c>
      <c r="M1496" s="12">
        <v>198</v>
      </c>
      <c r="N1496" s="14">
        <v>0.44</v>
      </c>
      <c r="O1496" s="12">
        <v>170</v>
      </c>
      <c r="P1496" s="12">
        <v>241</v>
      </c>
      <c r="Q1496" s="12">
        <v>10</v>
      </c>
      <c r="R1496" s="13" t="s">
        <v>94</v>
      </c>
      <c r="S1496" s="13"/>
      <c r="T1496" s="15">
        <v>1500</v>
      </c>
      <c r="U1496" s="13" t="s">
        <v>52</v>
      </c>
      <c r="V1496" s="13" t="s">
        <v>64</v>
      </c>
      <c r="W1496" s="12">
        <v>10</v>
      </c>
      <c r="X1496" s="33" t="str">
        <f>HYPERLINK("https://www.alpinabook.ru/catalog/book-vyzhivayut-tolko-paranoiki","ссылка на книгу")</f>
        <v>ссылка на книгу</v>
      </c>
      <c r="Y1496" s="34" t="str">
        <f>HYPERLINK("https://api-enni.alpina.ru/FilePrivilegesApproval/245","https://api-enni.alpina.ru/FilePrivilegesApproval/245")</f>
        <v>https://api-enni.alpina.ru/FilePrivilegesApproval/245</v>
      </c>
      <c r="Z1496" s="13"/>
      <c r="AT1496" s="1">
        <f t="shared" si="263"/>
        <v>0</v>
      </c>
      <c r="AU1496" s="1">
        <f t="shared" si="264"/>
        <v>0</v>
      </c>
      <c r="AV1496" s="1">
        <f t="shared" si="265"/>
        <v>0</v>
      </c>
      <c r="AW1496" s="1">
        <f t="shared" si="266"/>
        <v>0</v>
      </c>
      <c r="AX1496" s="1">
        <f t="shared" si="267"/>
        <v>0</v>
      </c>
    </row>
    <row r="1497" spans="1:50" s="1" customFormat="1" ht="24.95" customHeight="1" outlineLevel="3" x14ac:dyDescent="0.2">
      <c r="A1497" s="11"/>
      <c r="B1497" s="12">
        <v>890</v>
      </c>
      <c r="C1497" s="15">
        <v>1290</v>
      </c>
      <c r="D1497" s="12">
        <v>28084</v>
      </c>
      <c r="E1497" s="13" t="s">
        <v>406</v>
      </c>
      <c r="F1497" s="13" t="s">
        <v>407</v>
      </c>
      <c r="G1497" s="13" t="s">
        <v>56</v>
      </c>
      <c r="H1497" s="13" t="s">
        <v>40</v>
      </c>
      <c r="I1497" s="12">
        <v>2025</v>
      </c>
      <c r="J1497" s="13" t="s">
        <v>408</v>
      </c>
      <c r="K1497" s="12">
        <v>9785961487237</v>
      </c>
      <c r="L1497" s="13" t="s">
        <v>409</v>
      </c>
      <c r="M1497" s="12">
        <v>240</v>
      </c>
      <c r="N1497" s="14">
        <v>0.38</v>
      </c>
      <c r="O1497" s="12">
        <v>170</v>
      </c>
      <c r="P1497" s="12">
        <v>240</v>
      </c>
      <c r="Q1497" s="12">
        <v>10</v>
      </c>
      <c r="R1497" s="13" t="s">
        <v>94</v>
      </c>
      <c r="S1497" s="13"/>
      <c r="T1497" s="15">
        <v>1000</v>
      </c>
      <c r="U1497" s="13" t="s">
        <v>44</v>
      </c>
      <c r="V1497" s="13" t="s">
        <v>64</v>
      </c>
      <c r="W1497" s="12">
        <v>10</v>
      </c>
      <c r="X1497" s="33" t="str">
        <f>HYPERLINK("https://www.alpinabook.ru/catalog/book-dilemma-innovatora","ссылка на книгу")</f>
        <v>ссылка на книгу</v>
      </c>
      <c r="Y1497" s="34" t="str">
        <f>HYPERLINK("https://api-enni.alpina.ru/FilePrivilegesApproval/162","https://api-enni.alpina.ru/FilePrivilegesApproval/162")</f>
        <v>https://api-enni.alpina.ru/FilePrivilegesApproval/162</v>
      </c>
      <c r="Z1497" s="13" t="s">
        <v>77</v>
      </c>
      <c r="AT1497" s="1">
        <f t="shared" si="263"/>
        <v>0</v>
      </c>
      <c r="AU1497" s="1">
        <f t="shared" si="264"/>
        <v>0</v>
      </c>
      <c r="AV1497" s="1">
        <f t="shared" si="265"/>
        <v>0</v>
      </c>
      <c r="AW1497" s="1">
        <f t="shared" si="266"/>
        <v>0</v>
      </c>
      <c r="AX1497" s="1">
        <f t="shared" si="267"/>
        <v>0</v>
      </c>
    </row>
    <row r="1498" spans="1:50" s="1" customFormat="1" ht="24.95" customHeight="1" outlineLevel="3" x14ac:dyDescent="0.2">
      <c r="A1498" s="11"/>
      <c r="B1498" s="12">
        <v>590</v>
      </c>
      <c r="C1498" s="12">
        <v>840</v>
      </c>
      <c r="D1498" s="12">
        <v>28799</v>
      </c>
      <c r="E1498" s="13" t="s">
        <v>764</v>
      </c>
      <c r="F1498" s="13" t="s">
        <v>4897</v>
      </c>
      <c r="G1498" s="13" t="s">
        <v>56</v>
      </c>
      <c r="H1498" s="13" t="s">
        <v>40</v>
      </c>
      <c r="I1498" s="12">
        <v>2025</v>
      </c>
      <c r="J1498" s="13" t="s">
        <v>4898</v>
      </c>
      <c r="K1498" s="12">
        <v>9785961490107</v>
      </c>
      <c r="L1498" s="13" t="s">
        <v>4899</v>
      </c>
      <c r="M1498" s="12">
        <v>256</v>
      </c>
      <c r="N1498" s="14">
        <v>0.32</v>
      </c>
      <c r="O1498" s="12">
        <v>140</v>
      </c>
      <c r="P1498" s="12">
        <v>210</v>
      </c>
      <c r="Q1498" s="12">
        <v>10</v>
      </c>
      <c r="R1498" s="13" t="s">
        <v>43</v>
      </c>
      <c r="S1498" s="13"/>
      <c r="T1498" s="15">
        <v>1000</v>
      </c>
      <c r="U1498" s="13" t="s">
        <v>44</v>
      </c>
      <c r="V1498" s="13" t="s">
        <v>64</v>
      </c>
      <c r="W1498" s="12">
        <v>10</v>
      </c>
      <c r="X1498" s="33" t="str">
        <f>HYPERLINK("https://www.alpinabook.ru/catalog/book-zolotye-pravila-prodazh","ссылка на книгу")</f>
        <v>ссылка на книгу</v>
      </c>
      <c r="Y1498" s="34" t="str">
        <f>HYPERLINK("https://api-enni.alpina.ru/FilePrivilegesApproval/132","https://api-enni.alpina.ru/FilePrivilegesApproval/132")</f>
        <v>https://api-enni.alpina.ru/FilePrivilegesApproval/132</v>
      </c>
      <c r="Z1498" s="13" t="s">
        <v>77</v>
      </c>
      <c r="AT1498" s="1">
        <f t="shared" si="263"/>
        <v>0</v>
      </c>
      <c r="AU1498" s="1">
        <f t="shared" si="264"/>
        <v>0</v>
      </c>
      <c r="AV1498" s="1">
        <f t="shared" si="265"/>
        <v>0</v>
      </c>
      <c r="AW1498" s="1">
        <f t="shared" si="266"/>
        <v>0</v>
      </c>
      <c r="AX1498" s="1">
        <f t="shared" si="267"/>
        <v>0</v>
      </c>
    </row>
    <row r="1499" spans="1:50" s="1" customFormat="1" ht="24.95" customHeight="1" outlineLevel="3" x14ac:dyDescent="0.2">
      <c r="A1499" s="11"/>
      <c r="B1499" s="12">
        <v>430</v>
      </c>
      <c r="C1499" s="12">
        <v>640</v>
      </c>
      <c r="D1499" s="12">
        <v>29975</v>
      </c>
      <c r="E1499" s="13" t="s">
        <v>4628</v>
      </c>
      <c r="F1499" s="13" t="s">
        <v>4900</v>
      </c>
      <c r="G1499" s="13" t="s">
        <v>56</v>
      </c>
      <c r="H1499" s="13"/>
      <c r="I1499" s="12">
        <v>2024</v>
      </c>
      <c r="J1499" s="13" t="s">
        <v>4901</v>
      </c>
      <c r="K1499" s="12">
        <v>9785961494440</v>
      </c>
      <c r="L1499" s="13" t="s">
        <v>4902</v>
      </c>
      <c r="M1499" s="12">
        <v>272</v>
      </c>
      <c r="N1499" s="14">
        <v>0.28999999999999998</v>
      </c>
      <c r="O1499" s="12">
        <v>130</v>
      </c>
      <c r="P1499" s="12">
        <v>200</v>
      </c>
      <c r="Q1499" s="12">
        <v>20</v>
      </c>
      <c r="R1499" s="13" t="s">
        <v>82</v>
      </c>
      <c r="S1499" s="13"/>
      <c r="T1499" s="15">
        <v>2000</v>
      </c>
      <c r="U1499" s="13" t="s">
        <v>44</v>
      </c>
      <c r="V1499" s="13" t="s">
        <v>45</v>
      </c>
      <c r="W1499" s="12">
        <v>10</v>
      </c>
      <c r="X1499" s="33" t="str">
        <f>HYPERLINK("https://www.alpinabook.ru/catalog/book-kak-pridumat-ideyu-esli-vy-ne-ogilvi","ссылка на книгу")</f>
        <v>ссылка на книгу</v>
      </c>
      <c r="Y1499" s="34" t="str">
        <f>HYPERLINK("https://api-enni.alpina.ru/FilePrivilegesApproval/25","https://api-enni.alpina.ru/FilePrivilegesApproval/25")</f>
        <v>https://api-enni.alpina.ru/FilePrivilegesApproval/25</v>
      </c>
      <c r="Z1499" s="13"/>
      <c r="AT1499" s="1">
        <f t="shared" si="263"/>
        <v>0</v>
      </c>
      <c r="AU1499" s="1">
        <f t="shared" si="264"/>
        <v>0</v>
      </c>
      <c r="AV1499" s="1">
        <f t="shared" si="265"/>
        <v>0</v>
      </c>
      <c r="AW1499" s="1">
        <f t="shared" si="266"/>
        <v>0</v>
      </c>
      <c r="AX1499" s="1">
        <f t="shared" si="267"/>
        <v>0</v>
      </c>
    </row>
    <row r="1500" spans="1:50" s="1" customFormat="1" ht="24.95" customHeight="1" outlineLevel="3" x14ac:dyDescent="0.2">
      <c r="A1500" s="11"/>
      <c r="B1500" s="12">
        <v>290</v>
      </c>
      <c r="C1500" s="12">
        <v>540</v>
      </c>
      <c r="D1500" s="12">
        <v>29087</v>
      </c>
      <c r="E1500" s="13" t="s">
        <v>418</v>
      </c>
      <c r="F1500" s="13" t="s">
        <v>480</v>
      </c>
      <c r="G1500" s="13" t="s">
        <v>56</v>
      </c>
      <c r="H1500" s="13" t="s">
        <v>40</v>
      </c>
      <c r="I1500" s="12">
        <v>2025</v>
      </c>
      <c r="J1500" s="13" t="s">
        <v>481</v>
      </c>
      <c r="K1500" s="12">
        <v>9785961491388</v>
      </c>
      <c r="L1500" s="13" t="s">
        <v>482</v>
      </c>
      <c r="M1500" s="12">
        <v>336</v>
      </c>
      <c r="N1500" s="14">
        <v>0.22</v>
      </c>
      <c r="O1500" s="12">
        <v>120</v>
      </c>
      <c r="P1500" s="12">
        <v>170</v>
      </c>
      <c r="Q1500" s="12">
        <v>20</v>
      </c>
      <c r="R1500" s="13" t="s">
        <v>75</v>
      </c>
      <c r="S1500" s="13" t="s">
        <v>253</v>
      </c>
      <c r="T1500" s="15">
        <v>2000</v>
      </c>
      <c r="U1500" s="13" t="s">
        <v>44</v>
      </c>
      <c r="V1500" s="13" t="s">
        <v>64</v>
      </c>
      <c r="W1500" s="12">
        <v>10</v>
      </c>
      <c r="X1500" s="33" t="str">
        <f>HYPERLINK("https://www.alpinabook.ru/catalog/book-kak-stat-bogatym","ссылка на книгу")</f>
        <v>ссылка на книгу</v>
      </c>
      <c r="Y1500" s="34" t="str">
        <f>HYPERLINK("https://api-enni.alpina.ru/FilePrivilegesApproval/315","https://api-enni.alpina.ru/FilePrivilegesApproval/315")</f>
        <v>https://api-enni.alpina.ru/FilePrivilegesApproval/315</v>
      </c>
      <c r="Z1500" s="13" t="s">
        <v>142</v>
      </c>
      <c r="AT1500" s="1">
        <f t="shared" si="263"/>
        <v>0</v>
      </c>
      <c r="AU1500" s="1">
        <f t="shared" si="264"/>
        <v>0</v>
      </c>
      <c r="AV1500" s="1">
        <f t="shared" si="265"/>
        <v>0</v>
      </c>
      <c r="AW1500" s="1">
        <f t="shared" si="266"/>
        <v>0</v>
      </c>
      <c r="AX1500" s="1">
        <f t="shared" si="267"/>
        <v>0</v>
      </c>
    </row>
    <row r="1501" spans="1:50" s="1" customFormat="1" ht="24.95" customHeight="1" outlineLevel="3" x14ac:dyDescent="0.2">
      <c r="A1501" s="11"/>
      <c r="B1501" s="12">
        <v>540</v>
      </c>
      <c r="C1501" s="12">
        <v>790</v>
      </c>
      <c r="D1501" s="12">
        <v>6976</v>
      </c>
      <c r="E1501" s="13" t="s">
        <v>418</v>
      </c>
      <c r="F1501" s="13" t="s">
        <v>483</v>
      </c>
      <c r="G1501" s="13" t="s">
        <v>56</v>
      </c>
      <c r="H1501" s="13" t="s">
        <v>40</v>
      </c>
      <c r="I1501" s="12">
        <v>2017</v>
      </c>
      <c r="J1501" s="13" t="s">
        <v>484</v>
      </c>
      <c r="K1501" s="12">
        <v>9785961461046</v>
      </c>
      <c r="L1501" s="13" t="s">
        <v>485</v>
      </c>
      <c r="M1501" s="12">
        <v>240</v>
      </c>
      <c r="N1501" s="14">
        <v>0.52</v>
      </c>
      <c r="O1501" s="12">
        <v>171</v>
      </c>
      <c r="P1501" s="12">
        <v>241</v>
      </c>
      <c r="Q1501" s="12">
        <v>5</v>
      </c>
      <c r="R1501" s="13" t="s">
        <v>94</v>
      </c>
      <c r="S1501" s="13"/>
      <c r="T1501" s="15">
        <v>1000</v>
      </c>
      <c r="U1501" s="13" t="s">
        <v>52</v>
      </c>
      <c r="V1501" s="13" t="s">
        <v>64</v>
      </c>
      <c r="W1501" s="12">
        <v>10</v>
      </c>
      <c r="X1501" s="33" t="str">
        <f>HYPERLINK("https://www.alpinabook.ru/catalog/book-kak-stat-bogatym","ссылка на книгу")</f>
        <v>ссылка на книгу</v>
      </c>
      <c r="Y1501" s="34" t="str">
        <f>HYPERLINK("https://api-enni.alpina.ru/FilePrivilegesApproval/2","https://api-enni.alpina.ru/FilePrivilegesApproval/2")</f>
        <v>https://api-enni.alpina.ru/FilePrivilegesApproval/2</v>
      </c>
      <c r="Z1501" s="13" t="s">
        <v>77</v>
      </c>
      <c r="AT1501" s="1">
        <f t="shared" si="263"/>
        <v>0</v>
      </c>
      <c r="AU1501" s="1">
        <f t="shared" si="264"/>
        <v>0</v>
      </c>
      <c r="AV1501" s="1">
        <f t="shared" si="265"/>
        <v>0</v>
      </c>
      <c r="AW1501" s="1">
        <f t="shared" si="266"/>
        <v>0</v>
      </c>
      <c r="AX1501" s="1">
        <f t="shared" si="267"/>
        <v>0</v>
      </c>
    </row>
    <row r="1502" spans="1:50" s="1" customFormat="1" ht="24.95" customHeight="1" outlineLevel="3" x14ac:dyDescent="0.2">
      <c r="A1502" s="11"/>
      <c r="B1502" s="12">
        <v>390</v>
      </c>
      <c r="C1502" s="12">
        <v>640</v>
      </c>
      <c r="D1502" s="12">
        <v>12755</v>
      </c>
      <c r="E1502" s="13" t="s">
        <v>4903</v>
      </c>
      <c r="F1502" s="13" t="s">
        <v>4904</v>
      </c>
      <c r="G1502" s="13" t="s">
        <v>56</v>
      </c>
      <c r="H1502" s="13" t="s">
        <v>40</v>
      </c>
      <c r="I1502" s="12">
        <v>2019</v>
      </c>
      <c r="J1502" s="13" t="s">
        <v>4905</v>
      </c>
      <c r="K1502" s="12">
        <v>9785961427127</v>
      </c>
      <c r="L1502" s="13" t="s">
        <v>4906</v>
      </c>
      <c r="M1502" s="12">
        <v>280</v>
      </c>
      <c r="N1502" s="14">
        <v>0.34</v>
      </c>
      <c r="O1502" s="12">
        <v>141</v>
      </c>
      <c r="P1502" s="12">
        <v>210</v>
      </c>
      <c r="Q1502" s="12">
        <v>16</v>
      </c>
      <c r="R1502" s="13" t="s">
        <v>43</v>
      </c>
      <c r="S1502" s="13" t="s">
        <v>4892</v>
      </c>
      <c r="T1502" s="15">
        <v>2500</v>
      </c>
      <c r="U1502" s="13" t="s">
        <v>44</v>
      </c>
      <c r="V1502" s="13" t="s">
        <v>64</v>
      </c>
      <c r="W1502" s="12">
        <v>10</v>
      </c>
      <c r="X1502" s="33" t="str">
        <f>HYPERLINK("https://www.alpinabook.ru/catalog/book-567362","ссылка на книгу")</f>
        <v>ссылка на книгу</v>
      </c>
      <c r="Y1502" s="34" t="str">
        <f>HYPERLINK("https://api-enni.alpina.ru/FilePrivilegesApproval/244","https://api-enni.alpina.ru/FilePrivilegesApproval/244")</f>
        <v>https://api-enni.alpina.ru/FilePrivilegesApproval/244</v>
      </c>
      <c r="Z1502" s="13"/>
      <c r="AT1502" s="1">
        <f t="shared" si="263"/>
        <v>0</v>
      </c>
      <c r="AU1502" s="1">
        <f t="shared" si="264"/>
        <v>0</v>
      </c>
      <c r="AV1502" s="1">
        <f t="shared" si="265"/>
        <v>0</v>
      </c>
      <c r="AW1502" s="1">
        <f t="shared" si="266"/>
        <v>0</v>
      </c>
      <c r="AX1502" s="1">
        <f t="shared" si="267"/>
        <v>0</v>
      </c>
    </row>
    <row r="1503" spans="1:50" s="1" customFormat="1" ht="24.95" customHeight="1" outlineLevel="3" x14ac:dyDescent="0.2">
      <c r="A1503" s="11"/>
      <c r="B1503" s="12">
        <v>540</v>
      </c>
      <c r="C1503" s="12">
        <v>790</v>
      </c>
      <c r="D1503" s="12">
        <v>12850</v>
      </c>
      <c r="E1503" s="13" t="s">
        <v>401</v>
      </c>
      <c r="F1503" s="13" t="s">
        <v>4907</v>
      </c>
      <c r="G1503" s="13" t="s">
        <v>56</v>
      </c>
      <c r="H1503" s="13" t="s">
        <v>40</v>
      </c>
      <c r="I1503" s="12">
        <v>2025</v>
      </c>
      <c r="J1503" s="13" t="s">
        <v>4908</v>
      </c>
      <c r="K1503" s="12">
        <v>9785961427646</v>
      </c>
      <c r="L1503" s="13" t="s">
        <v>4909</v>
      </c>
      <c r="M1503" s="12">
        <v>242</v>
      </c>
      <c r="N1503" s="14">
        <v>0.31</v>
      </c>
      <c r="O1503" s="12">
        <v>140</v>
      </c>
      <c r="P1503" s="12">
        <v>210</v>
      </c>
      <c r="Q1503" s="12">
        <v>16</v>
      </c>
      <c r="R1503" s="13" t="s">
        <v>43</v>
      </c>
      <c r="S1503" s="13" t="s">
        <v>4892</v>
      </c>
      <c r="T1503" s="15">
        <v>9000</v>
      </c>
      <c r="U1503" s="13" t="s">
        <v>44</v>
      </c>
      <c r="V1503" s="13" t="s">
        <v>64</v>
      </c>
      <c r="W1503" s="12">
        <v>10</v>
      </c>
      <c r="X1503" s="33" t="str">
        <f>HYPERLINK("https://www.alpinabook.ru/catalog/book-marketing-ot-a-do-ya","ссылка на книгу")</f>
        <v>ссылка на книгу</v>
      </c>
      <c r="Y1503" s="34" t="str">
        <f>HYPERLINK("https://api-enni.alpina.ru/FilePrivilegesApproval/125","https://api-enni.alpina.ru/FilePrivilegesApproval/125")</f>
        <v>https://api-enni.alpina.ru/FilePrivilegesApproval/125</v>
      </c>
      <c r="Z1503" s="13" t="s">
        <v>334</v>
      </c>
      <c r="AT1503" s="1">
        <f t="shared" si="263"/>
        <v>0</v>
      </c>
      <c r="AU1503" s="1">
        <f t="shared" si="264"/>
        <v>0</v>
      </c>
      <c r="AV1503" s="1">
        <f t="shared" si="265"/>
        <v>0</v>
      </c>
      <c r="AW1503" s="1">
        <f t="shared" si="266"/>
        <v>0</v>
      </c>
      <c r="AX1503" s="1">
        <f t="shared" si="267"/>
        <v>0</v>
      </c>
    </row>
    <row r="1504" spans="1:50" s="1" customFormat="1" ht="24.95" customHeight="1" outlineLevel="3" x14ac:dyDescent="0.2">
      <c r="A1504" s="11"/>
      <c r="B1504" s="12">
        <v>620</v>
      </c>
      <c r="C1504" s="12">
        <v>890</v>
      </c>
      <c r="D1504" s="12">
        <v>25692</v>
      </c>
      <c r="E1504" s="13" t="s">
        <v>510</v>
      </c>
      <c r="F1504" s="13" t="s">
        <v>4910</v>
      </c>
      <c r="G1504" s="13" t="s">
        <v>56</v>
      </c>
      <c r="H1504" s="13"/>
      <c r="I1504" s="12">
        <v>2025</v>
      </c>
      <c r="J1504" s="13" t="s">
        <v>4911</v>
      </c>
      <c r="K1504" s="12">
        <v>9785961478419</v>
      </c>
      <c r="L1504" s="13" t="s">
        <v>4912</v>
      </c>
      <c r="M1504" s="12">
        <v>156</v>
      </c>
      <c r="N1504" s="14">
        <v>0.31</v>
      </c>
      <c r="O1504" s="12">
        <v>150</v>
      </c>
      <c r="P1504" s="12">
        <v>220</v>
      </c>
      <c r="Q1504" s="12">
        <v>10</v>
      </c>
      <c r="R1504" s="13" t="s">
        <v>43</v>
      </c>
      <c r="S1504" s="13"/>
      <c r="T1504" s="15">
        <v>1000</v>
      </c>
      <c r="U1504" s="13" t="s">
        <v>52</v>
      </c>
      <c r="V1504" s="13" t="s">
        <v>64</v>
      </c>
      <c r="W1504" s="12">
        <v>10</v>
      </c>
      <c r="X1504" s="33" t="str">
        <f>HYPERLINK("https://www.alpinabook.ru/catalog/book-otsenka-kompetentsiy-metodom-intervyu","ссылка на книгу")</f>
        <v>ссылка на книгу</v>
      </c>
      <c r="Y1504" s="34" t="str">
        <f>HYPERLINK("https://api-enni.alpina.ru/FilePrivilegesApproval/152","https://api-enni.alpina.ru/FilePrivilegesApproval/152")</f>
        <v>https://api-enni.alpina.ru/FilePrivilegesApproval/152</v>
      </c>
      <c r="Z1504" s="13"/>
      <c r="AT1504" s="1">
        <f t="shared" si="263"/>
        <v>0</v>
      </c>
      <c r="AU1504" s="1">
        <f t="shared" si="264"/>
        <v>0</v>
      </c>
      <c r="AV1504" s="1">
        <f t="shared" si="265"/>
        <v>0</v>
      </c>
      <c r="AW1504" s="1">
        <f t="shared" si="266"/>
        <v>0</v>
      </c>
      <c r="AX1504" s="1">
        <f t="shared" si="267"/>
        <v>0</v>
      </c>
    </row>
    <row r="1505" spans="1:50" s="1" customFormat="1" ht="24.95" customHeight="1" outlineLevel="3" x14ac:dyDescent="0.2">
      <c r="A1505" s="11"/>
      <c r="B1505" s="12">
        <v>480</v>
      </c>
      <c r="C1505" s="12">
        <v>740</v>
      </c>
      <c r="D1505" s="12">
        <v>17363</v>
      </c>
      <c r="E1505" s="13" t="s">
        <v>4913</v>
      </c>
      <c r="F1505" s="13" t="s">
        <v>4914</v>
      </c>
      <c r="G1505" s="13" t="s">
        <v>56</v>
      </c>
      <c r="H1505" s="13" t="s">
        <v>40</v>
      </c>
      <c r="I1505" s="12">
        <v>2025</v>
      </c>
      <c r="J1505" s="13" t="s">
        <v>4915</v>
      </c>
      <c r="K1505" s="12">
        <v>9785961430455</v>
      </c>
      <c r="L1505" s="13" t="s">
        <v>4916</v>
      </c>
      <c r="M1505" s="12">
        <v>155</v>
      </c>
      <c r="N1505" s="14">
        <v>0.21</v>
      </c>
      <c r="O1505" s="12">
        <v>140</v>
      </c>
      <c r="P1505" s="12">
        <v>210</v>
      </c>
      <c r="Q1505" s="12">
        <v>28</v>
      </c>
      <c r="R1505" s="13" t="s">
        <v>43</v>
      </c>
      <c r="S1505" s="13" t="s">
        <v>4892</v>
      </c>
      <c r="T1505" s="15">
        <v>6000</v>
      </c>
      <c r="U1505" s="13" t="s">
        <v>44</v>
      </c>
      <c r="V1505" s="13" t="s">
        <v>64</v>
      </c>
      <c r="W1505" s="12">
        <v>10</v>
      </c>
      <c r="X1505" s="33" t="str">
        <f>HYPERLINK("https://www.alpinabook.ru/catalog/book-sprosi-mamu","ссылка на книгу")</f>
        <v>ссылка на книгу</v>
      </c>
      <c r="Y1505" s="34" t="str">
        <f>HYPERLINK("https://api-enni.alpina.ru/FilePrivilegesApproval/125","https://api-enni.alpina.ru/FilePrivilegesApproval/125")</f>
        <v>https://api-enni.alpina.ru/FilePrivilegesApproval/125</v>
      </c>
      <c r="Z1505" s="13" t="s">
        <v>295</v>
      </c>
      <c r="AT1505" s="1">
        <f t="shared" si="263"/>
        <v>0</v>
      </c>
      <c r="AU1505" s="1">
        <f t="shared" si="264"/>
        <v>0</v>
      </c>
      <c r="AV1505" s="1">
        <f t="shared" si="265"/>
        <v>0</v>
      </c>
      <c r="AW1505" s="1">
        <f t="shared" si="266"/>
        <v>0</v>
      </c>
      <c r="AX1505" s="1">
        <f t="shared" si="267"/>
        <v>0</v>
      </c>
    </row>
    <row r="1506" spans="1:50" s="1" customFormat="1" ht="24.95" customHeight="1" outlineLevel="3" x14ac:dyDescent="0.2">
      <c r="A1506" s="11"/>
      <c r="B1506" s="12">
        <v>520</v>
      </c>
      <c r="C1506" s="12">
        <v>790</v>
      </c>
      <c r="D1506" s="12">
        <v>31550</v>
      </c>
      <c r="E1506" s="13" t="s">
        <v>764</v>
      </c>
      <c r="F1506" s="13" t="s">
        <v>765</v>
      </c>
      <c r="G1506" s="13" t="s">
        <v>56</v>
      </c>
      <c r="H1506" s="13" t="s">
        <v>40</v>
      </c>
      <c r="I1506" s="12">
        <v>2025</v>
      </c>
      <c r="J1506" s="13" t="s">
        <v>766</v>
      </c>
      <c r="K1506" s="12">
        <v>9785961499216</v>
      </c>
      <c r="L1506" s="13" t="s">
        <v>767</v>
      </c>
      <c r="M1506" s="12">
        <v>132</v>
      </c>
      <c r="N1506" s="14">
        <v>0.27</v>
      </c>
      <c r="O1506" s="12">
        <v>150</v>
      </c>
      <c r="P1506" s="12">
        <v>220</v>
      </c>
      <c r="Q1506" s="12">
        <v>10</v>
      </c>
      <c r="R1506" s="13" t="s">
        <v>43</v>
      </c>
      <c r="S1506" s="13"/>
      <c r="T1506" s="15">
        <v>1000</v>
      </c>
      <c r="U1506" s="13" t="s">
        <v>52</v>
      </c>
      <c r="V1506" s="13" t="s">
        <v>64</v>
      </c>
      <c r="W1506" s="12">
        <v>10</v>
      </c>
      <c r="X1506" s="33" t="str">
        <f>HYPERLINK("https://www.alpinabook.ru/catalog/book-tekhniki-kholodnykh-zvonkov-1","ссылка на книгу")</f>
        <v>ссылка на книгу</v>
      </c>
      <c r="Y1506" s="34" t="str">
        <f>HYPERLINK("https://api-enni.alpina.ru/FilePrivilegesApproval/633","https://api-enni.alpina.ru/FilePrivilegesApproval/633")</f>
        <v>https://api-enni.alpina.ru/FilePrivilegesApproval/633</v>
      </c>
      <c r="Z1506" s="13" t="s">
        <v>77</v>
      </c>
      <c r="AT1506" s="1">
        <f t="shared" si="263"/>
        <v>0</v>
      </c>
      <c r="AU1506" s="1">
        <f t="shared" si="264"/>
        <v>0</v>
      </c>
      <c r="AV1506" s="1">
        <f t="shared" si="265"/>
        <v>0</v>
      </c>
      <c r="AW1506" s="1">
        <f t="shared" si="266"/>
        <v>0</v>
      </c>
      <c r="AX1506" s="1">
        <f t="shared" si="267"/>
        <v>0</v>
      </c>
    </row>
    <row r="1507" spans="1:50" s="1" customFormat="1" ht="24.95" customHeight="1" outlineLevel="3" x14ac:dyDescent="0.2">
      <c r="A1507" s="26"/>
      <c r="B1507" s="27">
        <v>520</v>
      </c>
      <c r="C1507" s="27">
        <v>520</v>
      </c>
      <c r="D1507" s="27">
        <v>7984</v>
      </c>
      <c r="E1507" s="29" t="s">
        <v>764</v>
      </c>
      <c r="F1507" s="29" t="s">
        <v>765</v>
      </c>
      <c r="G1507" s="29" t="s">
        <v>56</v>
      </c>
      <c r="H1507" s="29" t="s">
        <v>40</v>
      </c>
      <c r="I1507" s="26"/>
      <c r="J1507" s="29" t="s">
        <v>4917</v>
      </c>
      <c r="K1507" s="27">
        <v>9785961461725</v>
      </c>
      <c r="L1507" s="29" t="s">
        <v>4918</v>
      </c>
      <c r="M1507" s="27">
        <v>132</v>
      </c>
      <c r="N1507" s="30">
        <v>0.26</v>
      </c>
      <c r="O1507" s="27">
        <v>146</v>
      </c>
      <c r="P1507" s="27">
        <v>216</v>
      </c>
      <c r="Q1507" s="27">
        <v>26</v>
      </c>
      <c r="R1507" s="29" t="s">
        <v>43</v>
      </c>
      <c r="S1507" s="29"/>
      <c r="T1507" s="28">
        <v>2500</v>
      </c>
      <c r="U1507" s="29" t="s">
        <v>52</v>
      </c>
      <c r="V1507" s="29" t="s">
        <v>64</v>
      </c>
      <c r="W1507" s="27">
        <v>10</v>
      </c>
      <c r="X1507" s="37" t="str">
        <f>HYPERLINK("https://www.alpinabook.ru/catalog/book-7769","ссылка на книгу")</f>
        <v>ссылка на книгу</v>
      </c>
      <c r="Y1507" s="38" t="str">
        <f>HYPERLINK("https://api-enni.alpina.ru/FilePrivilegesApproval/2","https://api-enni.alpina.ru/FilePrivilegesApproval/2")</f>
        <v>https://api-enni.alpina.ru/FilePrivilegesApproval/2</v>
      </c>
      <c r="Z1507" s="29"/>
      <c r="AT1507" s="1">
        <f t="shared" si="263"/>
        <v>0</v>
      </c>
      <c r="AU1507" s="1">
        <f t="shared" si="264"/>
        <v>0</v>
      </c>
      <c r="AV1507" s="1">
        <f t="shared" si="265"/>
        <v>0</v>
      </c>
      <c r="AW1507" s="1">
        <f t="shared" si="266"/>
        <v>0</v>
      </c>
      <c r="AX1507" s="1">
        <f t="shared" si="267"/>
        <v>0</v>
      </c>
    </row>
    <row r="1508" spans="1:50" s="1" customFormat="1" ht="24.95" customHeight="1" outlineLevel="3" x14ac:dyDescent="0.2">
      <c r="A1508" s="26"/>
      <c r="B1508" s="27">
        <v>490</v>
      </c>
      <c r="C1508" s="27">
        <v>740</v>
      </c>
      <c r="D1508" s="27">
        <v>17224</v>
      </c>
      <c r="E1508" s="29" t="s">
        <v>580</v>
      </c>
      <c r="F1508" s="29" t="s">
        <v>4919</v>
      </c>
      <c r="G1508" s="29" t="s">
        <v>56</v>
      </c>
      <c r="H1508" s="29"/>
      <c r="I1508" s="27">
        <v>2020</v>
      </c>
      <c r="J1508" s="29" t="s">
        <v>4920</v>
      </c>
      <c r="K1508" s="27">
        <v>9785961429664</v>
      </c>
      <c r="L1508" s="29" t="s">
        <v>4921</v>
      </c>
      <c r="M1508" s="27">
        <v>232</v>
      </c>
      <c r="N1508" s="30">
        <v>0.3</v>
      </c>
      <c r="O1508" s="27">
        <v>141</v>
      </c>
      <c r="P1508" s="27">
        <v>210</v>
      </c>
      <c r="Q1508" s="27">
        <v>18</v>
      </c>
      <c r="R1508" s="29" t="s">
        <v>43</v>
      </c>
      <c r="S1508" s="29" t="s">
        <v>4892</v>
      </c>
      <c r="T1508" s="28">
        <v>2000</v>
      </c>
      <c r="U1508" s="29" t="s">
        <v>44</v>
      </c>
      <c r="V1508" s="29" t="s">
        <v>45</v>
      </c>
      <c r="W1508" s="27">
        <v>10</v>
      </c>
      <c r="X1508" s="37" t="str">
        <f>HYPERLINK("https://www.alpinabook.ru/catalog/book-593436","ссылка на книгу")</f>
        <v>ссылка на книгу</v>
      </c>
      <c r="Y1508" s="38" t="str">
        <f>HYPERLINK("https://api-enni.alpina.ru/FilePrivilegesApproval/65","https://api-enni.alpina.ru/FilePrivilegesApproval/65")</f>
        <v>https://api-enni.alpina.ru/FilePrivilegesApproval/65</v>
      </c>
      <c r="Z1508" s="29"/>
      <c r="AT1508" s="1">
        <f t="shared" si="263"/>
        <v>0</v>
      </c>
      <c r="AU1508" s="1">
        <f t="shared" si="264"/>
        <v>0</v>
      </c>
      <c r="AV1508" s="1">
        <f t="shared" si="265"/>
        <v>0</v>
      </c>
      <c r="AW1508" s="1">
        <f t="shared" si="266"/>
        <v>0</v>
      </c>
      <c r="AX1508" s="1">
        <f t="shared" si="267"/>
        <v>0</v>
      </c>
    </row>
    <row r="1509" spans="1:50" s="1" customFormat="1" ht="24.95" customHeight="1" outlineLevel="3" x14ac:dyDescent="0.2">
      <c r="A1509" s="11"/>
      <c r="B1509" s="12">
        <v>390</v>
      </c>
      <c r="C1509" s="12">
        <v>640</v>
      </c>
      <c r="D1509" s="12">
        <v>12811</v>
      </c>
      <c r="E1509" s="13" t="s">
        <v>1641</v>
      </c>
      <c r="F1509" s="13" t="s">
        <v>4922</v>
      </c>
      <c r="G1509" s="13" t="s">
        <v>56</v>
      </c>
      <c r="H1509" s="13" t="s">
        <v>40</v>
      </c>
      <c r="I1509" s="12">
        <v>2025</v>
      </c>
      <c r="J1509" s="13" t="s">
        <v>4923</v>
      </c>
      <c r="K1509" s="12">
        <v>9785961427417</v>
      </c>
      <c r="L1509" s="13" t="s">
        <v>4924</v>
      </c>
      <c r="M1509" s="12">
        <v>216</v>
      </c>
      <c r="N1509" s="14">
        <v>0.27</v>
      </c>
      <c r="O1509" s="12">
        <v>141</v>
      </c>
      <c r="P1509" s="12">
        <v>210</v>
      </c>
      <c r="Q1509" s="12">
        <v>14</v>
      </c>
      <c r="R1509" s="13" t="s">
        <v>43</v>
      </c>
      <c r="S1509" s="13" t="s">
        <v>4892</v>
      </c>
      <c r="T1509" s="15">
        <v>5000</v>
      </c>
      <c r="U1509" s="13" t="s">
        <v>44</v>
      </c>
      <c r="V1509" s="13" t="s">
        <v>45</v>
      </c>
      <c r="W1509" s="12">
        <v>10</v>
      </c>
      <c r="X1509" s="33" t="str">
        <f>HYPERLINK("https://www.alpinabook.ru/catalog/book-khvatit-byt-slavnym-parnem","ссылка на книгу")</f>
        <v>ссылка на книгу</v>
      </c>
      <c r="Y1509" s="34" t="str">
        <f>HYPERLINK("https://api-enni.alpina.ru/FilePrivilegesApproval/140","https://api-enni.alpina.ru/FilePrivilegesApproval/140")</f>
        <v>https://api-enni.alpina.ru/FilePrivilegesApproval/140</v>
      </c>
      <c r="Z1509" s="13"/>
      <c r="AT1509" s="1">
        <f t="shared" si="263"/>
        <v>0</v>
      </c>
      <c r="AU1509" s="1">
        <f t="shared" si="264"/>
        <v>0</v>
      </c>
      <c r="AV1509" s="1">
        <f t="shared" si="265"/>
        <v>0</v>
      </c>
      <c r="AW1509" s="1">
        <f t="shared" si="266"/>
        <v>0</v>
      </c>
      <c r="AX1509" s="1">
        <f t="shared" si="267"/>
        <v>0</v>
      </c>
    </row>
    <row r="1510" spans="1:50" ht="11.1" customHeight="1" outlineLevel="2" x14ac:dyDescent="0.2">
      <c r="A1510" s="40" t="s">
        <v>4925</v>
      </c>
      <c r="B1510" s="40"/>
      <c r="C1510" s="40"/>
      <c r="D1510" s="40"/>
      <c r="E1510" s="40"/>
      <c r="F1510" s="40"/>
      <c r="G1510" s="40"/>
      <c r="H1510" s="40"/>
      <c r="I1510" s="40"/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20"/>
    </row>
    <row r="1511" spans="1:50" s="1" customFormat="1" ht="24.95" customHeight="1" outlineLevel="3" x14ac:dyDescent="0.2">
      <c r="A1511" s="11"/>
      <c r="B1511" s="12">
        <v>690</v>
      </c>
      <c r="C1511" s="12">
        <v>990</v>
      </c>
      <c r="D1511" s="12">
        <v>17584</v>
      </c>
      <c r="E1511" s="13" t="s">
        <v>4926</v>
      </c>
      <c r="F1511" s="13" t="s">
        <v>4927</v>
      </c>
      <c r="G1511" s="13" t="s">
        <v>56</v>
      </c>
      <c r="H1511" s="13" t="s">
        <v>40</v>
      </c>
      <c r="I1511" s="12">
        <v>2025</v>
      </c>
      <c r="J1511" s="13" t="s">
        <v>4928</v>
      </c>
      <c r="K1511" s="12">
        <v>9785961439427</v>
      </c>
      <c r="L1511" s="13" t="s">
        <v>4929</v>
      </c>
      <c r="M1511" s="12">
        <v>222</v>
      </c>
      <c r="N1511" s="14">
        <v>0.23</v>
      </c>
      <c r="O1511" s="12">
        <v>125</v>
      </c>
      <c r="P1511" s="12">
        <v>200</v>
      </c>
      <c r="Q1511" s="12">
        <v>10</v>
      </c>
      <c r="R1511" s="13" t="s">
        <v>82</v>
      </c>
      <c r="S1511" s="13" t="s">
        <v>4930</v>
      </c>
      <c r="T1511" s="15">
        <v>1000</v>
      </c>
      <c r="U1511" s="13" t="s">
        <v>44</v>
      </c>
      <c r="V1511" s="13" t="s">
        <v>64</v>
      </c>
      <c r="W1511" s="12">
        <v>10</v>
      </c>
      <c r="X1511" s="33" t="str">
        <f>HYPERLINK("https://www.alpinabook.ru/catalog/book-gid-hbr-razreshenie-konflictov","ссылка на книгу")</f>
        <v>ссылка на книгу</v>
      </c>
      <c r="Y1511" s="34" t="str">
        <f>HYPERLINK("https://api-enni.alpina.ru/FilePrivilegesApproval/68","https://api-enni.alpina.ru/FilePrivilegesApproval/68")</f>
        <v>https://api-enni.alpina.ru/FilePrivilegesApproval/68</v>
      </c>
      <c r="Z1511" s="13" t="s">
        <v>77</v>
      </c>
      <c r="AT1511" s="1">
        <f t="shared" ref="AT1511:AT1539" si="268">IF($A1511&lt;&gt;0,1,0)</f>
        <v>0</v>
      </c>
      <c r="AU1511" s="1">
        <f t="shared" ref="AU1511:AU1539" si="269">$A1511*$B1511</f>
        <v>0</v>
      </c>
      <c r="AV1511" s="1">
        <f t="shared" ref="AV1511:AV1539" si="270">$A1511*$N1511</f>
        <v>0</v>
      </c>
      <c r="AW1511" s="1">
        <f t="shared" ref="AW1511:AW1539" si="271">IF($Q1511=0,0,INT($A1511/$Q1511))</f>
        <v>0</v>
      </c>
      <c r="AX1511" s="1">
        <f t="shared" ref="AX1511:AX1539" si="272">$A1511-$AW1511*$Q1511</f>
        <v>0</v>
      </c>
    </row>
    <row r="1512" spans="1:50" s="1" customFormat="1" ht="24.95" customHeight="1" outlineLevel="3" x14ac:dyDescent="0.2">
      <c r="A1512" s="11"/>
      <c r="B1512" s="12">
        <v>690</v>
      </c>
      <c r="C1512" s="12">
        <v>990</v>
      </c>
      <c r="D1512" s="12">
        <v>17588</v>
      </c>
      <c r="E1512" s="13" t="s">
        <v>501</v>
      </c>
      <c r="F1512" s="13" t="s">
        <v>4931</v>
      </c>
      <c r="G1512" s="13" t="s">
        <v>56</v>
      </c>
      <c r="H1512" s="13" t="s">
        <v>40</v>
      </c>
      <c r="I1512" s="12">
        <v>2024</v>
      </c>
      <c r="J1512" s="13" t="s">
        <v>4932</v>
      </c>
      <c r="K1512" s="12">
        <v>9785961440232</v>
      </c>
      <c r="L1512" s="13" t="s">
        <v>4933</v>
      </c>
      <c r="M1512" s="12">
        <v>196</v>
      </c>
      <c r="N1512" s="14">
        <v>0.22</v>
      </c>
      <c r="O1512" s="12">
        <v>125</v>
      </c>
      <c r="P1512" s="12">
        <v>200</v>
      </c>
      <c r="Q1512" s="12">
        <v>10</v>
      </c>
      <c r="R1512" s="13" t="s">
        <v>82</v>
      </c>
      <c r="S1512" s="13" t="s">
        <v>4930</v>
      </c>
      <c r="T1512" s="15">
        <v>1000</v>
      </c>
      <c r="U1512" s="13" t="s">
        <v>44</v>
      </c>
      <c r="V1512" s="13" t="s">
        <v>64</v>
      </c>
      <c r="W1512" s="12">
        <v>10</v>
      </c>
      <c r="X1512" s="33" t="str">
        <f>HYPERLINK("https://www.alpinabook.ru/catalog/book-gid-hbr-effektivnaya-obratnaya-svyaz","ссылка на книгу")</f>
        <v>ссылка на книгу</v>
      </c>
      <c r="Y1512" s="34" t="str">
        <f>HYPERLINK("https://api-enni.alpina.ru/FilePrivilegesApproval/70","https://api-enni.alpina.ru/FilePrivilegesApproval/70")</f>
        <v>https://api-enni.alpina.ru/FilePrivilegesApproval/70</v>
      </c>
      <c r="Z1512" s="13"/>
      <c r="AT1512" s="1">
        <f t="shared" si="268"/>
        <v>0</v>
      </c>
      <c r="AU1512" s="1">
        <f t="shared" si="269"/>
        <v>0</v>
      </c>
      <c r="AV1512" s="1">
        <f t="shared" si="270"/>
        <v>0</v>
      </c>
      <c r="AW1512" s="1">
        <f t="shared" si="271"/>
        <v>0</v>
      </c>
      <c r="AX1512" s="1">
        <f t="shared" si="272"/>
        <v>0</v>
      </c>
    </row>
    <row r="1513" spans="1:50" s="1" customFormat="1" ht="24.95" customHeight="1" outlineLevel="3" x14ac:dyDescent="0.2">
      <c r="A1513" s="11"/>
      <c r="B1513" s="12">
        <v>690</v>
      </c>
      <c r="C1513" s="15">
        <v>1190</v>
      </c>
      <c r="D1513" s="12">
        <v>5259</v>
      </c>
      <c r="E1513" s="13" t="s">
        <v>501</v>
      </c>
      <c r="F1513" s="13" t="s">
        <v>4934</v>
      </c>
      <c r="G1513" s="13" t="s">
        <v>56</v>
      </c>
      <c r="H1513" s="13" t="s">
        <v>40</v>
      </c>
      <c r="I1513" s="12">
        <v>2025</v>
      </c>
      <c r="J1513" s="13" t="s">
        <v>4935</v>
      </c>
      <c r="K1513" s="12">
        <v>9785961465877</v>
      </c>
      <c r="L1513" s="13" t="s">
        <v>4936</v>
      </c>
      <c r="M1513" s="12">
        <v>206</v>
      </c>
      <c r="N1513" s="14">
        <v>0.36</v>
      </c>
      <c r="O1513" s="12">
        <v>153</v>
      </c>
      <c r="P1513" s="12">
        <v>216</v>
      </c>
      <c r="Q1513" s="12">
        <v>6</v>
      </c>
      <c r="R1513" s="13" t="s">
        <v>43</v>
      </c>
      <c r="S1513" s="13" t="s">
        <v>505</v>
      </c>
      <c r="T1513" s="15">
        <v>1000</v>
      </c>
      <c r="U1513" s="13" t="s">
        <v>52</v>
      </c>
      <c r="V1513" s="13" t="s">
        <v>64</v>
      </c>
      <c r="W1513" s="12">
        <v>10</v>
      </c>
      <c r="X1513" s="33" t="str">
        <f>HYPERLINK("https://www.alpinabook.ru/catalog/book-innovatsionnyy-menedzhment","ссылка на книгу")</f>
        <v>ссылка на книгу</v>
      </c>
      <c r="Y1513" s="34" t="str">
        <f>HYPERLINK("https://api-enni.alpina.ru/FilePrivilegesApproval/2","https://api-enni.alpina.ru/FilePrivilegesApproval/2")</f>
        <v>https://api-enni.alpina.ru/FilePrivilegesApproval/2</v>
      </c>
      <c r="Z1513" s="13" t="s">
        <v>4937</v>
      </c>
      <c r="AT1513" s="1">
        <f t="shared" si="268"/>
        <v>0</v>
      </c>
      <c r="AU1513" s="1">
        <f t="shared" si="269"/>
        <v>0</v>
      </c>
      <c r="AV1513" s="1">
        <f t="shared" si="270"/>
        <v>0</v>
      </c>
      <c r="AW1513" s="1">
        <f t="shared" si="271"/>
        <v>0</v>
      </c>
      <c r="AX1513" s="1">
        <f t="shared" si="272"/>
        <v>0</v>
      </c>
    </row>
    <row r="1514" spans="1:50" s="1" customFormat="1" ht="24.95" customHeight="1" outlineLevel="3" x14ac:dyDescent="0.2">
      <c r="A1514" s="11"/>
      <c r="B1514" s="12">
        <v>790</v>
      </c>
      <c r="C1514" s="15">
        <v>1190</v>
      </c>
      <c r="D1514" s="12">
        <v>13881</v>
      </c>
      <c r="E1514" s="13" t="s">
        <v>501</v>
      </c>
      <c r="F1514" s="13" t="s">
        <v>4938</v>
      </c>
      <c r="G1514" s="13" t="s">
        <v>56</v>
      </c>
      <c r="H1514" s="13" t="s">
        <v>40</v>
      </c>
      <c r="I1514" s="12">
        <v>2024</v>
      </c>
      <c r="J1514" s="13" t="s">
        <v>4939</v>
      </c>
      <c r="K1514" s="12">
        <v>9785961438383</v>
      </c>
      <c r="L1514" s="13" t="s">
        <v>4940</v>
      </c>
      <c r="M1514" s="12">
        <v>216</v>
      </c>
      <c r="N1514" s="14">
        <v>0.35</v>
      </c>
      <c r="O1514" s="12">
        <v>150</v>
      </c>
      <c r="P1514" s="12">
        <v>220</v>
      </c>
      <c r="Q1514" s="12">
        <v>8</v>
      </c>
      <c r="R1514" s="13" t="s">
        <v>43</v>
      </c>
      <c r="S1514" s="13" t="s">
        <v>505</v>
      </c>
      <c r="T1514" s="15">
        <v>1500</v>
      </c>
      <c r="U1514" s="13" t="s">
        <v>52</v>
      </c>
      <c r="V1514" s="13" t="s">
        <v>64</v>
      </c>
      <c r="W1514" s="12">
        <v>10</v>
      </c>
      <c r="X1514" s="33" t="str">
        <f>HYPERLINK("https://www.alpinabook.ru/catalog/book-korporativnaya-kultura-","ссылка на книгу")</f>
        <v>ссылка на книгу</v>
      </c>
      <c r="Y1514" s="34" t="str">
        <f>HYPERLINK("https://api-enni.alpina.ru/FilePrivilegesApproval/69","https://api-enni.alpina.ru/FilePrivilegesApproval/69")</f>
        <v>https://api-enni.alpina.ru/FilePrivilegesApproval/69</v>
      </c>
      <c r="Z1514" s="13"/>
      <c r="AT1514" s="1">
        <f t="shared" si="268"/>
        <v>0</v>
      </c>
      <c r="AU1514" s="1">
        <f t="shared" si="269"/>
        <v>0</v>
      </c>
      <c r="AV1514" s="1">
        <f t="shared" si="270"/>
        <v>0</v>
      </c>
      <c r="AW1514" s="1">
        <f t="shared" si="271"/>
        <v>0</v>
      </c>
      <c r="AX1514" s="1">
        <f t="shared" si="272"/>
        <v>0</v>
      </c>
    </row>
    <row r="1515" spans="1:50" s="1" customFormat="1" ht="24.95" customHeight="1" outlineLevel="3" x14ac:dyDescent="0.2">
      <c r="A1515" s="11"/>
      <c r="B1515" s="12">
        <v>790</v>
      </c>
      <c r="C1515" s="15">
        <v>1190</v>
      </c>
      <c r="D1515" s="12">
        <v>19300</v>
      </c>
      <c r="E1515" s="13" t="s">
        <v>501</v>
      </c>
      <c r="F1515" s="13" t="s">
        <v>502</v>
      </c>
      <c r="G1515" s="13" t="s">
        <v>56</v>
      </c>
      <c r="H1515" s="13" t="s">
        <v>40</v>
      </c>
      <c r="I1515" s="12">
        <v>2025</v>
      </c>
      <c r="J1515" s="13" t="s">
        <v>503</v>
      </c>
      <c r="K1515" s="12">
        <v>9785961480412</v>
      </c>
      <c r="L1515" s="13" t="s">
        <v>504</v>
      </c>
      <c r="M1515" s="12">
        <v>206</v>
      </c>
      <c r="N1515" s="14">
        <v>0.36</v>
      </c>
      <c r="O1515" s="12">
        <v>160</v>
      </c>
      <c r="P1515" s="12">
        <v>220</v>
      </c>
      <c r="Q1515" s="12">
        <v>6</v>
      </c>
      <c r="R1515" s="13" t="s">
        <v>43</v>
      </c>
      <c r="S1515" s="13" t="s">
        <v>505</v>
      </c>
      <c r="T1515" s="15">
        <v>1000</v>
      </c>
      <c r="U1515" s="13" t="s">
        <v>52</v>
      </c>
      <c r="V1515" s="13" t="s">
        <v>64</v>
      </c>
      <c r="W1515" s="12">
        <v>10</v>
      </c>
      <c r="X1515" s="33" t="str">
        <f>HYPERLINK("https://www.alpinabook.ru/catalog/book-kreativnost","ссылка на книгу")</f>
        <v>ссылка на книгу</v>
      </c>
      <c r="Y1515" s="34" t="str">
        <f>HYPERLINK("https://api-enni.alpina.ru/FilePrivilegesApproval/156","https://api-enni.alpina.ru/FilePrivilegesApproval/156")</f>
        <v>https://api-enni.alpina.ru/FilePrivilegesApproval/156</v>
      </c>
      <c r="Z1515" s="13" t="s">
        <v>282</v>
      </c>
      <c r="AT1515" s="1">
        <f t="shared" si="268"/>
        <v>0</v>
      </c>
      <c r="AU1515" s="1">
        <f t="shared" si="269"/>
        <v>0</v>
      </c>
      <c r="AV1515" s="1">
        <f t="shared" si="270"/>
        <v>0</v>
      </c>
      <c r="AW1515" s="1">
        <f t="shared" si="271"/>
        <v>0</v>
      </c>
      <c r="AX1515" s="1">
        <f t="shared" si="272"/>
        <v>0</v>
      </c>
    </row>
    <row r="1516" spans="1:50" s="1" customFormat="1" ht="24.95" customHeight="1" outlineLevel="3" x14ac:dyDescent="0.2">
      <c r="A1516" s="26"/>
      <c r="B1516" s="27">
        <v>790</v>
      </c>
      <c r="C1516" s="28">
        <v>1190</v>
      </c>
      <c r="D1516" s="27">
        <v>5260</v>
      </c>
      <c r="E1516" s="29" t="s">
        <v>501</v>
      </c>
      <c r="F1516" s="29" t="s">
        <v>4941</v>
      </c>
      <c r="G1516" s="29" t="s">
        <v>56</v>
      </c>
      <c r="H1516" s="29" t="s">
        <v>40</v>
      </c>
      <c r="I1516" s="27">
        <v>2025</v>
      </c>
      <c r="J1516" s="29" t="s">
        <v>4942</v>
      </c>
      <c r="K1516" s="27">
        <v>9785961467550</v>
      </c>
      <c r="L1516" s="29" t="s">
        <v>4943</v>
      </c>
      <c r="M1516" s="27">
        <v>224</v>
      </c>
      <c r="N1516" s="30">
        <v>0.38</v>
      </c>
      <c r="O1516" s="27">
        <v>153</v>
      </c>
      <c r="P1516" s="27">
        <v>216</v>
      </c>
      <c r="Q1516" s="27">
        <v>6</v>
      </c>
      <c r="R1516" s="29" t="s">
        <v>43</v>
      </c>
      <c r="S1516" s="29" t="s">
        <v>505</v>
      </c>
      <c r="T1516" s="28">
        <v>1000</v>
      </c>
      <c r="U1516" s="29" t="s">
        <v>52</v>
      </c>
      <c r="V1516" s="29" t="s">
        <v>64</v>
      </c>
      <c r="W1516" s="27">
        <v>10</v>
      </c>
      <c r="X1516" s="37" t="str">
        <f>HYPERLINK("https://www.alpinabook.ru/catalog/book-liderstvo","ссылка на книгу")</f>
        <v>ссылка на книгу</v>
      </c>
      <c r="Y1516" s="38" t="str">
        <f>HYPERLINK("https://api-enni.alpina.ru/FilePrivilegesApproval/152","https://api-enni.alpina.ru/FilePrivilegesApproval/152")</f>
        <v>https://api-enni.alpina.ru/FilePrivilegesApproval/152</v>
      </c>
      <c r="Z1516" s="29" t="s">
        <v>4937</v>
      </c>
      <c r="AT1516" s="1">
        <f t="shared" si="268"/>
        <v>0</v>
      </c>
      <c r="AU1516" s="1">
        <f t="shared" si="269"/>
        <v>0</v>
      </c>
      <c r="AV1516" s="1">
        <f t="shared" si="270"/>
        <v>0</v>
      </c>
      <c r="AW1516" s="1">
        <f t="shared" si="271"/>
        <v>0</v>
      </c>
      <c r="AX1516" s="1">
        <f t="shared" si="272"/>
        <v>0</v>
      </c>
    </row>
    <row r="1517" spans="1:50" s="1" customFormat="1" ht="24.95" customHeight="1" outlineLevel="3" x14ac:dyDescent="0.2">
      <c r="A1517" s="11"/>
      <c r="B1517" s="12">
        <v>790</v>
      </c>
      <c r="C1517" s="15">
        <v>1190</v>
      </c>
      <c r="D1517" s="12">
        <v>5262</v>
      </c>
      <c r="E1517" s="13" t="s">
        <v>501</v>
      </c>
      <c r="F1517" s="13" t="s">
        <v>4944</v>
      </c>
      <c r="G1517" s="13" t="s">
        <v>56</v>
      </c>
      <c r="H1517" s="13" t="s">
        <v>40</v>
      </c>
      <c r="I1517" s="12">
        <v>2024</v>
      </c>
      <c r="J1517" s="13" t="s">
        <v>4945</v>
      </c>
      <c r="K1517" s="12">
        <v>9785961470130</v>
      </c>
      <c r="L1517" s="13" t="s">
        <v>4946</v>
      </c>
      <c r="M1517" s="12">
        <v>216</v>
      </c>
      <c r="N1517" s="14">
        <v>0.39</v>
      </c>
      <c r="O1517" s="12">
        <v>146</v>
      </c>
      <c r="P1517" s="12">
        <v>216</v>
      </c>
      <c r="Q1517" s="12">
        <v>18</v>
      </c>
      <c r="R1517" s="13" t="s">
        <v>43</v>
      </c>
      <c r="S1517" s="13" t="s">
        <v>505</v>
      </c>
      <c r="T1517" s="15">
        <v>1500</v>
      </c>
      <c r="U1517" s="13" t="s">
        <v>52</v>
      </c>
      <c r="V1517" s="13" t="s">
        <v>64</v>
      </c>
      <c r="W1517" s="12">
        <v>10</v>
      </c>
      <c r="X1517" s="33" t="str">
        <f>HYPERLINK("https://www.alpinabook.ru/catalog/book-lichnaya-effektivnost","ссылка на книгу")</f>
        <v>ссылка на книгу</v>
      </c>
      <c r="Y1517" s="34" t="str">
        <f>HYPERLINK("https://api-enni.alpina.ru/FilePrivilegesApproval/156","https://api-enni.alpina.ru/FilePrivilegesApproval/156")</f>
        <v>https://api-enni.alpina.ru/FilePrivilegesApproval/156</v>
      </c>
      <c r="Z1517" s="13"/>
      <c r="AT1517" s="1">
        <f t="shared" si="268"/>
        <v>0</v>
      </c>
      <c r="AU1517" s="1">
        <f t="shared" si="269"/>
        <v>0</v>
      </c>
      <c r="AV1517" s="1">
        <f t="shared" si="270"/>
        <v>0</v>
      </c>
      <c r="AW1517" s="1">
        <f t="shared" si="271"/>
        <v>0</v>
      </c>
      <c r="AX1517" s="1">
        <f t="shared" si="272"/>
        <v>0</v>
      </c>
    </row>
    <row r="1518" spans="1:50" s="1" customFormat="1" ht="24.95" customHeight="1" outlineLevel="3" x14ac:dyDescent="0.2">
      <c r="A1518" s="26"/>
      <c r="B1518" s="27">
        <v>580</v>
      </c>
      <c r="C1518" s="27">
        <v>580</v>
      </c>
      <c r="D1518" s="27">
        <v>11383</v>
      </c>
      <c r="E1518" s="29" t="s">
        <v>501</v>
      </c>
      <c r="F1518" s="29" t="s">
        <v>4947</v>
      </c>
      <c r="G1518" s="29" t="s">
        <v>56</v>
      </c>
      <c r="H1518" s="29" t="s">
        <v>40</v>
      </c>
      <c r="I1518" s="27">
        <v>2020</v>
      </c>
      <c r="J1518" s="29" t="s">
        <v>4948</v>
      </c>
      <c r="K1518" s="27">
        <v>9785961431322</v>
      </c>
      <c r="L1518" s="29" t="s">
        <v>4949</v>
      </c>
      <c r="M1518" s="27">
        <v>288</v>
      </c>
      <c r="N1518" s="30">
        <v>0.4</v>
      </c>
      <c r="O1518" s="27">
        <v>146</v>
      </c>
      <c r="P1518" s="27">
        <v>216</v>
      </c>
      <c r="Q1518" s="27">
        <v>12</v>
      </c>
      <c r="R1518" s="29" t="s">
        <v>43</v>
      </c>
      <c r="S1518" s="29" t="s">
        <v>505</v>
      </c>
      <c r="T1518" s="28">
        <v>2000</v>
      </c>
      <c r="U1518" s="29" t="s">
        <v>52</v>
      </c>
      <c r="V1518" s="29" t="s">
        <v>64</v>
      </c>
      <c r="W1518" s="27">
        <v>10</v>
      </c>
      <c r="X1518" s="37" t="str">
        <f>HYPERLINK("https://www.alpinabook.ru/catalog/book-615076","ссылка на книгу")</f>
        <v>ссылка на книгу</v>
      </c>
      <c r="Y1518" s="38" t="str">
        <f>HYPERLINK("https://api-enni.alpina.ru/FilePrivilegesApproval/55","https://api-enni.alpina.ru/FilePrivilegesApproval/55")</f>
        <v>https://api-enni.alpina.ru/FilePrivilegesApproval/55</v>
      </c>
      <c r="Z1518" s="29"/>
      <c r="AT1518" s="1">
        <f t="shared" si="268"/>
        <v>0</v>
      </c>
      <c r="AU1518" s="1">
        <f t="shared" si="269"/>
        <v>0</v>
      </c>
      <c r="AV1518" s="1">
        <f t="shared" si="270"/>
        <v>0</v>
      </c>
      <c r="AW1518" s="1">
        <f t="shared" si="271"/>
        <v>0</v>
      </c>
      <c r="AX1518" s="1">
        <f t="shared" si="272"/>
        <v>0</v>
      </c>
    </row>
    <row r="1519" spans="1:50" s="1" customFormat="1" ht="24.95" customHeight="1" outlineLevel="3" x14ac:dyDescent="0.2">
      <c r="A1519" s="11"/>
      <c r="B1519" s="12">
        <v>790</v>
      </c>
      <c r="C1519" s="15">
        <v>1190</v>
      </c>
      <c r="D1519" s="12">
        <v>8598</v>
      </c>
      <c r="E1519" s="13" t="s">
        <v>501</v>
      </c>
      <c r="F1519" s="13" t="s">
        <v>556</v>
      </c>
      <c r="G1519" s="13" t="s">
        <v>56</v>
      </c>
      <c r="H1519" s="13" t="s">
        <v>40</v>
      </c>
      <c r="I1519" s="12">
        <v>2025</v>
      </c>
      <c r="J1519" s="13" t="s">
        <v>557</v>
      </c>
      <c r="K1519" s="12">
        <v>9785961471304</v>
      </c>
      <c r="L1519" s="13" t="s">
        <v>558</v>
      </c>
      <c r="M1519" s="12">
        <v>208</v>
      </c>
      <c r="N1519" s="14">
        <v>0.36</v>
      </c>
      <c r="O1519" s="12">
        <v>150</v>
      </c>
      <c r="P1519" s="12">
        <v>220</v>
      </c>
      <c r="Q1519" s="12">
        <v>10</v>
      </c>
      <c r="R1519" s="13" t="s">
        <v>43</v>
      </c>
      <c r="S1519" s="13" t="s">
        <v>505</v>
      </c>
      <c r="T1519" s="15">
        <v>1000</v>
      </c>
      <c r="U1519" s="13" t="s">
        <v>52</v>
      </c>
      <c r="V1519" s="13" t="s">
        <v>64</v>
      </c>
      <c r="W1519" s="12">
        <v>10</v>
      </c>
      <c r="X1519" s="33" t="str">
        <f>HYPERLINK("https://www.alpinabook.ru/catalog/book-metody-prinyatiya-resheniy","ссылка на книгу")</f>
        <v>ссылка на книгу</v>
      </c>
      <c r="Y1519" s="34" t="str">
        <f>HYPERLINK("https://api-enni.alpina.ru/FilePrivilegesApproval/2","https://api-enni.alpina.ru/FilePrivilegesApproval/2")</f>
        <v>https://api-enni.alpina.ru/FilePrivilegesApproval/2</v>
      </c>
      <c r="Z1519" s="13" t="s">
        <v>65</v>
      </c>
      <c r="AT1519" s="1">
        <f t="shared" si="268"/>
        <v>0</v>
      </c>
      <c r="AU1519" s="1">
        <f t="shared" si="269"/>
        <v>0</v>
      </c>
      <c r="AV1519" s="1">
        <f t="shared" si="270"/>
        <v>0</v>
      </c>
      <c r="AW1519" s="1">
        <f t="shared" si="271"/>
        <v>0</v>
      </c>
      <c r="AX1519" s="1">
        <f t="shared" si="272"/>
        <v>0</v>
      </c>
    </row>
    <row r="1520" spans="1:50" s="1" customFormat="1" ht="24.95" customHeight="1" outlineLevel="3" x14ac:dyDescent="0.2">
      <c r="A1520" s="11"/>
      <c r="B1520" s="12">
        <v>790</v>
      </c>
      <c r="C1520" s="15">
        <v>1190</v>
      </c>
      <c r="D1520" s="12">
        <v>11458</v>
      </c>
      <c r="E1520" s="13" t="s">
        <v>4950</v>
      </c>
      <c r="F1520" s="13" t="s">
        <v>4951</v>
      </c>
      <c r="G1520" s="13" t="s">
        <v>56</v>
      </c>
      <c r="H1520" s="13" t="s">
        <v>40</v>
      </c>
      <c r="I1520" s="12">
        <v>2023</v>
      </c>
      <c r="J1520" s="13" t="s">
        <v>4952</v>
      </c>
      <c r="K1520" s="12">
        <v>9785961433241</v>
      </c>
      <c r="L1520" s="13" t="s">
        <v>4953</v>
      </c>
      <c r="M1520" s="12">
        <v>256</v>
      </c>
      <c r="N1520" s="14">
        <v>0.5</v>
      </c>
      <c r="O1520" s="12">
        <v>170</v>
      </c>
      <c r="P1520" s="12">
        <v>240</v>
      </c>
      <c r="Q1520" s="12">
        <v>9</v>
      </c>
      <c r="R1520" s="13" t="s">
        <v>94</v>
      </c>
      <c r="S1520" s="13"/>
      <c r="T1520" s="15">
        <v>1500</v>
      </c>
      <c r="U1520" s="13" t="s">
        <v>52</v>
      </c>
      <c r="V1520" s="13" t="s">
        <v>64</v>
      </c>
      <c r="W1520" s="12">
        <v>10</v>
      </c>
      <c r="X1520" s="33" t="str">
        <f>HYPERLINK("https://www.alpinabook.ru/catalog/book-nastolnaya-kniga-lidera","ссылка на книгу")</f>
        <v>ссылка на книгу</v>
      </c>
      <c r="Y1520" s="34" t="str">
        <f>HYPERLINK("https://api-enni.alpina.ru/FilePrivilegesApproval/156","https://api-enni.alpina.ru/FilePrivilegesApproval/156")</f>
        <v>https://api-enni.alpina.ru/FilePrivilegesApproval/156</v>
      </c>
      <c r="Z1520" s="13"/>
      <c r="AT1520" s="1">
        <f t="shared" si="268"/>
        <v>0</v>
      </c>
      <c r="AU1520" s="1">
        <f t="shared" si="269"/>
        <v>0</v>
      </c>
      <c r="AV1520" s="1">
        <f t="shared" si="270"/>
        <v>0</v>
      </c>
      <c r="AW1520" s="1">
        <f t="shared" si="271"/>
        <v>0</v>
      </c>
      <c r="AX1520" s="1">
        <f t="shared" si="272"/>
        <v>0</v>
      </c>
    </row>
    <row r="1521" spans="1:50" s="1" customFormat="1" ht="24.95" customHeight="1" outlineLevel="3" x14ac:dyDescent="0.2">
      <c r="A1521" s="11"/>
      <c r="B1521" s="12">
        <v>690</v>
      </c>
      <c r="C1521" s="15">
        <v>1190</v>
      </c>
      <c r="D1521" s="12">
        <v>19442</v>
      </c>
      <c r="E1521" s="13" t="s">
        <v>501</v>
      </c>
      <c r="F1521" s="13" t="s">
        <v>4954</v>
      </c>
      <c r="G1521" s="13" t="s">
        <v>56</v>
      </c>
      <c r="H1521" s="13" t="s">
        <v>40</v>
      </c>
      <c r="I1521" s="12">
        <v>2023</v>
      </c>
      <c r="J1521" s="13" t="s">
        <v>4955</v>
      </c>
      <c r="K1521" s="12">
        <v>9785961477610</v>
      </c>
      <c r="L1521" s="13" t="s">
        <v>4956</v>
      </c>
      <c r="M1521" s="12">
        <v>248</v>
      </c>
      <c r="N1521" s="14">
        <v>0.4</v>
      </c>
      <c r="O1521" s="12">
        <v>153</v>
      </c>
      <c r="P1521" s="12">
        <v>216</v>
      </c>
      <c r="Q1521" s="12">
        <v>10</v>
      </c>
      <c r="R1521" s="13" t="s">
        <v>43</v>
      </c>
      <c r="S1521" s="13" t="s">
        <v>505</v>
      </c>
      <c r="T1521" s="15">
        <v>1000</v>
      </c>
      <c r="U1521" s="13" t="s">
        <v>52</v>
      </c>
      <c r="V1521" s="13" t="s">
        <v>64</v>
      </c>
      <c r="W1521" s="12">
        <v>10</v>
      </c>
      <c r="X1521" s="33" t="str">
        <f>HYPERLINK("https://www.alpinabook.ru/catalog/book-organizatsionnaya-ustoychivost","ссылка на книгу")</f>
        <v>ссылка на книгу</v>
      </c>
      <c r="Y1521" s="34" t="str">
        <f>HYPERLINK("https://api-enni.alpina.ru/FilePrivilegesApproval/153","https://api-enni.alpina.ru/FilePrivilegesApproval/153")</f>
        <v>https://api-enni.alpina.ru/FilePrivilegesApproval/153</v>
      </c>
      <c r="Z1521" s="13"/>
      <c r="AT1521" s="1">
        <f t="shared" si="268"/>
        <v>0</v>
      </c>
      <c r="AU1521" s="1">
        <f t="shared" si="269"/>
        <v>0</v>
      </c>
      <c r="AV1521" s="1">
        <f t="shared" si="270"/>
        <v>0</v>
      </c>
      <c r="AW1521" s="1">
        <f t="shared" si="271"/>
        <v>0</v>
      </c>
      <c r="AX1521" s="1">
        <f t="shared" si="272"/>
        <v>0</v>
      </c>
    </row>
    <row r="1522" spans="1:50" s="1" customFormat="1" ht="24.95" customHeight="1" outlineLevel="3" x14ac:dyDescent="0.2">
      <c r="A1522" s="11"/>
      <c r="B1522" s="12">
        <v>790</v>
      </c>
      <c r="C1522" s="15">
        <v>1190</v>
      </c>
      <c r="D1522" s="12">
        <v>13862</v>
      </c>
      <c r="E1522" s="13" t="s">
        <v>501</v>
      </c>
      <c r="F1522" s="13" t="s">
        <v>4957</v>
      </c>
      <c r="G1522" s="13" t="s">
        <v>56</v>
      </c>
      <c r="H1522" s="13" t="s">
        <v>40</v>
      </c>
      <c r="I1522" s="12">
        <v>2025</v>
      </c>
      <c r="J1522" s="13" t="s">
        <v>4958</v>
      </c>
      <c r="K1522" s="12">
        <v>9785961437249</v>
      </c>
      <c r="L1522" s="13" t="s">
        <v>4959</v>
      </c>
      <c r="M1522" s="12">
        <v>200</v>
      </c>
      <c r="N1522" s="14">
        <v>0.3</v>
      </c>
      <c r="O1522" s="12">
        <v>146</v>
      </c>
      <c r="P1522" s="12">
        <v>216</v>
      </c>
      <c r="Q1522" s="12">
        <v>10</v>
      </c>
      <c r="R1522" s="13" t="s">
        <v>43</v>
      </c>
      <c r="S1522" s="13" t="s">
        <v>505</v>
      </c>
      <c r="T1522" s="15">
        <v>1000</v>
      </c>
      <c r="U1522" s="13" t="s">
        <v>52</v>
      </c>
      <c r="V1522" s="13" t="s">
        <v>64</v>
      </c>
      <c r="W1522" s="12">
        <v>10</v>
      </c>
      <c r="X1522" s="33" t="str">
        <f>HYPERLINK("https://www.alpinabook.ru/catalog/book-peregovory-1","ссылка на книгу")</f>
        <v>ссылка на книгу</v>
      </c>
      <c r="Y1522" s="34" t="str">
        <f>HYPERLINK("https://api-enni.alpina.ru/FilePrivilegesApproval/156","https://api-enni.alpina.ru/FilePrivilegesApproval/156")</f>
        <v>https://api-enni.alpina.ru/FilePrivilegesApproval/156</v>
      </c>
      <c r="Z1522" s="13" t="s">
        <v>431</v>
      </c>
      <c r="AT1522" s="1">
        <f t="shared" si="268"/>
        <v>0</v>
      </c>
      <c r="AU1522" s="1">
        <f t="shared" si="269"/>
        <v>0</v>
      </c>
      <c r="AV1522" s="1">
        <f t="shared" si="270"/>
        <v>0</v>
      </c>
      <c r="AW1522" s="1">
        <f t="shared" si="271"/>
        <v>0</v>
      </c>
      <c r="AX1522" s="1">
        <f t="shared" si="272"/>
        <v>0</v>
      </c>
    </row>
    <row r="1523" spans="1:50" s="1" customFormat="1" ht="24.95" customHeight="1" outlineLevel="3" x14ac:dyDescent="0.2">
      <c r="A1523" s="11"/>
      <c r="B1523" s="12">
        <v>790</v>
      </c>
      <c r="C1523" s="15">
        <v>1190</v>
      </c>
      <c r="D1523" s="12">
        <v>13863</v>
      </c>
      <c r="E1523" s="13" t="s">
        <v>501</v>
      </c>
      <c r="F1523" s="13" t="s">
        <v>4960</v>
      </c>
      <c r="G1523" s="13" t="s">
        <v>56</v>
      </c>
      <c r="H1523" s="13" t="s">
        <v>40</v>
      </c>
      <c r="I1523" s="12">
        <v>2024</v>
      </c>
      <c r="J1523" s="13" t="s">
        <v>4961</v>
      </c>
      <c r="K1523" s="12">
        <v>9785961445008</v>
      </c>
      <c r="L1523" s="13" t="s">
        <v>4962</v>
      </c>
      <c r="M1523" s="12">
        <v>204</v>
      </c>
      <c r="N1523" s="14">
        <v>0.34</v>
      </c>
      <c r="O1523" s="12">
        <v>146</v>
      </c>
      <c r="P1523" s="12">
        <v>216</v>
      </c>
      <c r="Q1523" s="12">
        <v>9</v>
      </c>
      <c r="R1523" s="13" t="s">
        <v>43</v>
      </c>
      <c r="S1523" s="13" t="s">
        <v>505</v>
      </c>
      <c r="T1523" s="15">
        <v>1000</v>
      </c>
      <c r="U1523" s="13" t="s">
        <v>52</v>
      </c>
      <c r="V1523" s="13" t="s">
        <v>64</v>
      </c>
      <c r="W1523" s="12">
        <v>10</v>
      </c>
      <c r="X1523" s="33" t="str">
        <f>HYPERLINK("https://www.alpinabook.ru/catalog/book-pereosmyslenie-roli-hr","ссылка на книгу")</f>
        <v>ссылка на книгу</v>
      </c>
      <c r="Y1523" s="34" t="str">
        <f>HYPERLINK("https://api-enni.alpina.ru/FilePrivilegesApproval/80","https://api-enni.alpina.ru/FilePrivilegesApproval/80")</f>
        <v>https://api-enni.alpina.ru/FilePrivilegesApproval/80</v>
      </c>
      <c r="Z1523" s="13"/>
      <c r="AT1523" s="1">
        <f t="shared" si="268"/>
        <v>0</v>
      </c>
      <c r="AU1523" s="1">
        <f t="shared" si="269"/>
        <v>0</v>
      </c>
      <c r="AV1523" s="1">
        <f t="shared" si="270"/>
        <v>0</v>
      </c>
      <c r="AW1523" s="1">
        <f t="shared" si="271"/>
        <v>0</v>
      </c>
      <c r="AX1523" s="1">
        <f t="shared" si="272"/>
        <v>0</v>
      </c>
    </row>
    <row r="1524" spans="1:50" s="1" customFormat="1" ht="24.95" customHeight="1" outlineLevel="3" x14ac:dyDescent="0.2">
      <c r="A1524" s="26"/>
      <c r="B1524" s="27">
        <v>790</v>
      </c>
      <c r="C1524" s="28">
        <v>1190</v>
      </c>
      <c r="D1524" s="27">
        <v>19301</v>
      </c>
      <c r="E1524" s="29" t="s">
        <v>501</v>
      </c>
      <c r="F1524" s="29" t="s">
        <v>4963</v>
      </c>
      <c r="G1524" s="29" t="s">
        <v>56</v>
      </c>
      <c r="H1524" s="29" t="s">
        <v>40</v>
      </c>
      <c r="I1524" s="27">
        <v>2025</v>
      </c>
      <c r="J1524" s="29" t="s">
        <v>4964</v>
      </c>
      <c r="K1524" s="27">
        <v>9785961478617</v>
      </c>
      <c r="L1524" s="29" t="s">
        <v>4965</v>
      </c>
      <c r="M1524" s="27">
        <v>194</v>
      </c>
      <c r="N1524" s="30">
        <v>0.35</v>
      </c>
      <c r="O1524" s="27">
        <v>150</v>
      </c>
      <c r="P1524" s="27">
        <v>220</v>
      </c>
      <c r="Q1524" s="27">
        <v>5</v>
      </c>
      <c r="R1524" s="29" t="s">
        <v>43</v>
      </c>
      <c r="S1524" s="29" t="s">
        <v>505</v>
      </c>
      <c r="T1524" s="28">
        <v>1000</v>
      </c>
      <c r="U1524" s="29" t="s">
        <v>52</v>
      </c>
      <c r="V1524" s="29" t="s">
        <v>64</v>
      </c>
      <c r="W1524" s="27">
        <v>10</v>
      </c>
      <c r="X1524" s="37" t="str">
        <f>HYPERLINK("https://www.alpinabook.ru/catalog/book-platformy-i-ekosistemy","ссылка на книгу")</f>
        <v>ссылка на книгу</v>
      </c>
      <c r="Y1524" s="38" t="str">
        <f>HYPERLINK("https://api-enni.alpina.ru/FilePrivilegesApproval/162","https://api-enni.alpina.ru/FilePrivilegesApproval/162")</f>
        <v>https://api-enni.alpina.ru/FilePrivilegesApproval/162</v>
      </c>
      <c r="Z1524" s="29" t="s">
        <v>1222</v>
      </c>
      <c r="AT1524" s="1">
        <f t="shared" si="268"/>
        <v>0</v>
      </c>
      <c r="AU1524" s="1">
        <f t="shared" si="269"/>
        <v>0</v>
      </c>
      <c r="AV1524" s="1">
        <f t="shared" si="270"/>
        <v>0</v>
      </c>
      <c r="AW1524" s="1">
        <f t="shared" si="271"/>
        <v>0</v>
      </c>
      <c r="AX1524" s="1">
        <f t="shared" si="272"/>
        <v>0</v>
      </c>
    </row>
    <row r="1525" spans="1:50" s="1" customFormat="1" ht="24.95" customHeight="1" outlineLevel="3" x14ac:dyDescent="0.2">
      <c r="A1525" s="11"/>
      <c r="B1525" s="12">
        <v>790</v>
      </c>
      <c r="C1525" s="15">
        <v>1190</v>
      </c>
      <c r="D1525" s="12">
        <v>13865</v>
      </c>
      <c r="E1525" s="13" t="s">
        <v>501</v>
      </c>
      <c r="F1525" s="13" t="s">
        <v>4966</v>
      </c>
      <c r="G1525" s="13" t="s">
        <v>56</v>
      </c>
      <c r="H1525" s="13" t="s">
        <v>40</v>
      </c>
      <c r="I1525" s="12">
        <v>2024</v>
      </c>
      <c r="J1525" s="13" t="s">
        <v>4967</v>
      </c>
      <c r="K1525" s="12">
        <v>9785961474794</v>
      </c>
      <c r="L1525" s="13" t="s">
        <v>4968</v>
      </c>
      <c r="M1525" s="12">
        <v>156</v>
      </c>
      <c r="N1525" s="14">
        <v>0.3</v>
      </c>
      <c r="O1525" s="12">
        <v>150</v>
      </c>
      <c r="P1525" s="12">
        <v>220</v>
      </c>
      <c r="Q1525" s="12">
        <v>10</v>
      </c>
      <c r="R1525" s="13" t="s">
        <v>43</v>
      </c>
      <c r="S1525" s="13" t="s">
        <v>505</v>
      </c>
      <c r="T1525" s="15">
        <v>1000</v>
      </c>
      <c r="U1525" s="13" t="s">
        <v>52</v>
      </c>
      <c r="V1525" s="13" t="s">
        <v>64</v>
      </c>
      <c r="W1525" s="12">
        <v>10</v>
      </c>
      <c r="X1525" s="33" t="str">
        <f>HYPERLINK("https://www.alpinabook.ru/catalog/book-predprinimatelstvo-i-startapy","ссылка на книгу")</f>
        <v>ссылка на книгу</v>
      </c>
      <c r="Y1525" s="34" t="str">
        <f>HYPERLINK("https://api-enni.alpina.ru/FilePrivilegesApproval/162","https://api-enni.alpina.ru/FilePrivilegesApproval/162")</f>
        <v>https://api-enni.alpina.ru/FilePrivilegesApproval/162</v>
      </c>
      <c r="Z1525" s="13"/>
      <c r="AT1525" s="1">
        <f t="shared" si="268"/>
        <v>0</v>
      </c>
      <c r="AU1525" s="1">
        <f t="shared" si="269"/>
        <v>0</v>
      </c>
      <c r="AV1525" s="1">
        <f t="shared" si="270"/>
        <v>0</v>
      </c>
      <c r="AW1525" s="1">
        <f t="shared" si="271"/>
        <v>0</v>
      </c>
      <c r="AX1525" s="1">
        <f t="shared" si="272"/>
        <v>0</v>
      </c>
    </row>
    <row r="1526" spans="1:50" s="1" customFormat="1" ht="24.95" customHeight="1" outlineLevel="3" x14ac:dyDescent="0.2">
      <c r="A1526" s="11"/>
      <c r="B1526" s="12">
        <v>690</v>
      </c>
      <c r="C1526" s="15">
        <v>1190</v>
      </c>
      <c r="D1526" s="12">
        <v>11384</v>
      </c>
      <c r="E1526" s="13" t="s">
        <v>501</v>
      </c>
      <c r="F1526" s="13" t="s">
        <v>677</v>
      </c>
      <c r="G1526" s="13" t="s">
        <v>56</v>
      </c>
      <c r="H1526" s="13" t="s">
        <v>40</v>
      </c>
      <c r="I1526" s="12">
        <v>2025</v>
      </c>
      <c r="J1526" s="13" t="s">
        <v>678</v>
      </c>
      <c r="K1526" s="12">
        <v>9785961432060</v>
      </c>
      <c r="L1526" s="13" t="s">
        <v>679</v>
      </c>
      <c r="M1526" s="12">
        <v>210</v>
      </c>
      <c r="N1526" s="14">
        <v>0.38</v>
      </c>
      <c r="O1526" s="12">
        <v>153</v>
      </c>
      <c r="P1526" s="12">
        <v>216</v>
      </c>
      <c r="Q1526" s="12">
        <v>6</v>
      </c>
      <c r="R1526" s="13" t="s">
        <v>43</v>
      </c>
      <c r="S1526" s="13" t="s">
        <v>505</v>
      </c>
      <c r="T1526" s="15">
        <v>1000</v>
      </c>
      <c r="U1526" s="13" t="s">
        <v>52</v>
      </c>
      <c r="V1526" s="13" t="s">
        <v>64</v>
      </c>
      <c r="W1526" s="12">
        <v>10</v>
      </c>
      <c r="X1526" s="33" t="str">
        <f>HYPERLINK("https://www.alpinabook.ru/catalog/book-prodazhi","ссылка на книгу")</f>
        <v>ссылка на книгу</v>
      </c>
      <c r="Y1526" s="34" t="str">
        <f>HYPERLINK("https://api-enni.alpina.ru/FilePrivilegesApproval/124","https://api-enni.alpina.ru/FilePrivilegesApproval/124")</f>
        <v>https://api-enni.alpina.ru/FilePrivilegesApproval/124</v>
      </c>
      <c r="Z1526" s="13" t="s">
        <v>118</v>
      </c>
      <c r="AT1526" s="1">
        <f t="shared" si="268"/>
        <v>0</v>
      </c>
      <c r="AU1526" s="1">
        <f t="shared" si="269"/>
        <v>0</v>
      </c>
      <c r="AV1526" s="1">
        <f t="shared" si="270"/>
        <v>0</v>
      </c>
      <c r="AW1526" s="1">
        <f t="shared" si="271"/>
        <v>0</v>
      </c>
      <c r="AX1526" s="1">
        <f t="shared" si="272"/>
        <v>0</v>
      </c>
    </row>
    <row r="1527" spans="1:50" s="1" customFormat="1" ht="24.95" customHeight="1" outlineLevel="3" x14ac:dyDescent="0.2">
      <c r="A1527" s="11"/>
      <c r="B1527" s="12">
        <v>690</v>
      </c>
      <c r="C1527" s="15">
        <v>1190</v>
      </c>
      <c r="D1527" s="12">
        <v>5304</v>
      </c>
      <c r="E1527" s="13" t="s">
        <v>501</v>
      </c>
      <c r="F1527" s="13" t="s">
        <v>4969</v>
      </c>
      <c r="G1527" s="13" t="s">
        <v>56</v>
      </c>
      <c r="H1527" s="13" t="s">
        <v>40</v>
      </c>
      <c r="I1527" s="12">
        <v>2024</v>
      </c>
      <c r="J1527" s="13" t="s">
        <v>4970</v>
      </c>
      <c r="K1527" s="12">
        <v>9785961469288</v>
      </c>
      <c r="L1527" s="13" t="s">
        <v>4971</v>
      </c>
      <c r="M1527" s="12">
        <v>132</v>
      </c>
      <c r="N1527" s="14">
        <v>0.28000000000000003</v>
      </c>
      <c r="O1527" s="12">
        <v>153</v>
      </c>
      <c r="P1527" s="12">
        <v>216</v>
      </c>
      <c r="Q1527" s="12">
        <v>22</v>
      </c>
      <c r="R1527" s="13" t="s">
        <v>43</v>
      </c>
      <c r="S1527" s="13"/>
      <c r="T1527" s="15">
        <v>1500</v>
      </c>
      <c r="U1527" s="13" t="s">
        <v>52</v>
      </c>
      <c r="V1527" s="13" t="s">
        <v>64</v>
      </c>
      <c r="W1527" s="12">
        <v>10</v>
      </c>
      <c r="X1527" s="33" t="str">
        <f>HYPERLINK("https://www.alpinabook.ru/catalog/book-rukovodstvo-po-resheniyu-biznes-processov","ссылка на книгу")</f>
        <v>ссылка на книгу</v>
      </c>
      <c r="Y1527" s="34" t="str">
        <f>HYPERLINK("https://api-enni.alpina.ru/FilePrivilegesApproval/141","https://api-enni.alpina.ru/FilePrivilegesApproval/141")</f>
        <v>https://api-enni.alpina.ru/FilePrivilegesApproval/141</v>
      </c>
      <c r="Z1527" s="13"/>
      <c r="AT1527" s="1">
        <f t="shared" si="268"/>
        <v>0</v>
      </c>
      <c r="AU1527" s="1">
        <f t="shared" si="269"/>
        <v>0</v>
      </c>
      <c r="AV1527" s="1">
        <f t="shared" si="270"/>
        <v>0</v>
      </c>
      <c r="AW1527" s="1">
        <f t="shared" si="271"/>
        <v>0</v>
      </c>
      <c r="AX1527" s="1">
        <f t="shared" si="272"/>
        <v>0</v>
      </c>
    </row>
    <row r="1528" spans="1:50" s="1" customFormat="1" ht="24.95" customHeight="1" outlineLevel="3" x14ac:dyDescent="0.2">
      <c r="A1528" s="11"/>
      <c r="B1528" s="12">
        <v>690</v>
      </c>
      <c r="C1528" s="15">
        <v>1190</v>
      </c>
      <c r="D1528" s="12">
        <v>7351</v>
      </c>
      <c r="E1528" s="13" t="s">
        <v>501</v>
      </c>
      <c r="F1528" s="13" t="s">
        <v>737</v>
      </c>
      <c r="G1528" s="13" t="s">
        <v>56</v>
      </c>
      <c r="H1528" s="13" t="s">
        <v>40</v>
      </c>
      <c r="I1528" s="12">
        <v>2025</v>
      </c>
      <c r="J1528" s="13" t="s">
        <v>738</v>
      </c>
      <c r="K1528" s="12">
        <v>9785961471069</v>
      </c>
      <c r="L1528" s="13" t="s">
        <v>739</v>
      </c>
      <c r="M1528" s="12">
        <v>176</v>
      </c>
      <c r="N1528" s="14">
        <v>0.31</v>
      </c>
      <c r="O1528" s="12">
        <v>150</v>
      </c>
      <c r="P1528" s="12">
        <v>220</v>
      </c>
      <c r="Q1528" s="12">
        <v>10</v>
      </c>
      <c r="R1528" s="13" t="s">
        <v>43</v>
      </c>
      <c r="S1528" s="13" t="s">
        <v>505</v>
      </c>
      <c r="T1528" s="15">
        <v>1000</v>
      </c>
      <c r="U1528" s="13" t="s">
        <v>52</v>
      </c>
      <c r="V1528" s="13" t="s">
        <v>64</v>
      </c>
      <c r="W1528" s="12">
        <v>10</v>
      </c>
      <c r="X1528" s="33" t="str">
        <f>HYPERLINK("","ссылка на книгу")</f>
        <v>ссылка на книгу</v>
      </c>
      <c r="Y1528" s="34" t="str">
        <f>HYPERLINK("https://api-enni.alpina.ru/FilePrivilegesApproval/2","https://api-enni.alpina.ru/FilePrivilegesApproval/2")</f>
        <v>https://api-enni.alpina.ru/FilePrivilegesApproval/2</v>
      </c>
      <c r="Z1528" s="13" t="s">
        <v>101</v>
      </c>
      <c r="AT1528" s="1">
        <f t="shared" si="268"/>
        <v>0</v>
      </c>
      <c r="AU1528" s="1">
        <f t="shared" si="269"/>
        <v>0</v>
      </c>
      <c r="AV1528" s="1">
        <f t="shared" si="270"/>
        <v>0</v>
      </c>
      <c r="AW1528" s="1">
        <f t="shared" si="271"/>
        <v>0</v>
      </c>
      <c r="AX1528" s="1">
        <f t="shared" si="272"/>
        <v>0</v>
      </c>
    </row>
    <row r="1529" spans="1:50" s="1" customFormat="1" ht="24.95" customHeight="1" outlineLevel="3" x14ac:dyDescent="0.2">
      <c r="A1529" s="11"/>
      <c r="B1529" s="12">
        <v>790</v>
      </c>
      <c r="C1529" s="15">
        <v>1190</v>
      </c>
      <c r="D1529" s="12">
        <v>5263</v>
      </c>
      <c r="E1529" s="13" t="s">
        <v>501</v>
      </c>
      <c r="F1529" s="13" t="s">
        <v>4972</v>
      </c>
      <c r="G1529" s="13" t="s">
        <v>56</v>
      </c>
      <c r="H1529" s="13" t="s">
        <v>40</v>
      </c>
      <c r="I1529" s="12">
        <v>2025</v>
      </c>
      <c r="J1529" s="13" t="s">
        <v>4973</v>
      </c>
      <c r="K1529" s="12">
        <v>9785961469691</v>
      </c>
      <c r="L1529" s="13" t="s">
        <v>4974</v>
      </c>
      <c r="M1529" s="12">
        <v>224</v>
      </c>
      <c r="N1529" s="14">
        <v>0.38</v>
      </c>
      <c r="O1529" s="12">
        <v>153</v>
      </c>
      <c r="P1529" s="12">
        <v>216</v>
      </c>
      <c r="Q1529" s="12">
        <v>6</v>
      </c>
      <c r="R1529" s="13" t="s">
        <v>43</v>
      </c>
      <c r="S1529" s="13" t="s">
        <v>505</v>
      </c>
      <c r="T1529" s="15">
        <v>1000</v>
      </c>
      <c r="U1529" s="13" t="s">
        <v>52</v>
      </c>
      <c r="V1529" s="13" t="s">
        <v>64</v>
      </c>
      <c r="W1529" s="12">
        <v>10</v>
      </c>
      <c r="X1529" s="33" t="str">
        <f>HYPERLINK("https://www.alpinabook.ru/catalog/book-strategicheskiy-marketing","ссылка на книгу")</f>
        <v>ссылка на книгу</v>
      </c>
      <c r="Y1529" s="34" t="str">
        <f>HYPERLINK("https://api-enni.alpina.ru/FilePrivilegesApproval/2","https://api-enni.alpina.ru/FilePrivilegesApproval/2")</f>
        <v>https://api-enni.alpina.ru/FilePrivilegesApproval/2</v>
      </c>
      <c r="Z1529" s="13" t="s">
        <v>4937</v>
      </c>
      <c r="AT1529" s="1">
        <f t="shared" si="268"/>
        <v>0</v>
      </c>
      <c r="AU1529" s="1">
        <f t="shared" si="269"/>
        <v>0</v>
      </c>
      <c r="AV1529" s="1">
        <f t="shared" si="270"/>
        <v>0</v>
      </c>
      <c r="AW1529" s="1">
        <f t="shared" si="271"/>
        <v>0</v>
      </c>
      <c r="AX1529" s="1">
        <f t="shared" si="272"/>
        <v>0</v>
      </c>
    </row>
    <row r="1530" spans="1:50" s="1" customFormat="1" ht="24.95" customHeight="1" outlineLevel="3" x14ac:dyDescent="0.2">
      <c r="A1530" s="11"/>
      <c r="B1530" s="12">
        <v>790</v>
      </c>
      <c r="C1530" s="15">
        <v>1190</v>
      </c>
      <c r="D1530" s="12">
        <v>5265</v>
      </c>
      <c r="E1530" s="13" t="s">
        <v>501</v>
      </c>
      <c r="F1530" s="13" t="s">
        <v>4975</v>
      </c>
      <c r="G1530" s="13" t="s">
        <v>56</v>
      </c>
      <c r="H1530" s="13" t="s">
        <v>40</v>
      </c>
      <c r="I1530" s="12">
        <v>2025</v>
      </c>
      <c r="J1530" s="13" t="s">
        <v>4976</v>
      </c>
      <c r="K1530" s="12">
        <v>9785961471151</v>
      </c>
      <c r="L1530" s="13" t="s">
        <v>4977</v>
      </c>
      <c r="M1530" s="12">
        <v>288</v>
      </c>
      <c r="N1530" s="14">
        <v>0.48</v>
      </c>
      <c r="O1530" s="12">
        <v>150</v>
      </c>
      <c r="P1530" s="12">
        <v>220</v>
      </c>
      <c r="Q1530" s="12">
        <v>5</v>
      </c>
      <c r="R1530" s="13" t="s">
        <v>43</v>
      </c>
      <c r="S1530" s="13" t="s">
        <v>505</v>
      </c>
      <c r="T1530" s="15">
        <v>1000</v>
      </c>
      <c r="U1530" s="13" t="s">
        <v>52</v>
      </c>
      <c r="V1530" s="13" t="s">
        <v>64</v>
      </c>
      <c r="W1530" s="12">
        <v>10</v>
      </c>
      <c r="X1530" s="33" t="str">
        <f>HYPERLINK("https://www.alpinabook.ru/catalog/book-strategiya","ссылка на книгу")</f>
        <v>ссылка на книгу</v>
      </c>
      <c r="Y1530" s="34" t="str">
        <f>HYPERLINK("https://api-enni.alpina.ru/FilePrivilegesApproval/141","https://api-enni.alpina.ru/FilePrivilegesApproval/141")</f>
        <v>https://api-enni.alpina.ru/FilePrivilegesApproval/141</v>
      </c>
      <c r="Z1530" s="13" t="s">
        <v>4937</v>
      </c>
      <c r="AT1530" s="1">
        <f t="shared" si="268"/>
        <v>0</v>
      </c>
      <c r="AU1530" s="1">
        <f t="shared" si="269"/>
        <v>0</v>
      </c>
      <c r="AV1530" s="1">
        <f t="shared" si="270"/>
        <v>0</v>
      </c>
      <c r="AW1530" s="1">
        <f t="shared" si="271"/>
        <v>0</v>
      </c>
      <c r="AX1530" s="1">
        <f t="shared" si="272"/>
        <v>0</v>
      </c>
    </row>
    <row r="1531" spans="1:50" s="1" customFormat="1" ht="24.95" customHeight="1" outlineLevel="3" x14ac:dyDescent="0.2">
      <c r="A1531" s="26"/>
      <c r="B1531" s="27">
        <v>690</v>
      </c>
      <c r="C1531" s="27">
        <v>990</v>
      </c>
      <c r="D1531" s="27">
        <v>13860</v>
      </c>
      <c r="E1531" s="29" t="s">
        <v>501</v>
      </c>
      <c r="F1531" s="29" t="s">
        <v>4978</v>
      </c>
      <c r="G1531" s="29" t="s">
        <v>56</v>
      </c>
      <c r="H1531" s="29" t="s">
        <v>40</v>
      </c>
      <c r="I1531" s="27">
        <v>2021</v>
      </c>
      <c r="J1531" s="29" t="s">
        <v>4979</v>
      </c>
      <c r="K1531" s="27">
        <v>9785961439991</v>
      </c>
      <c r="L1531" s="29" t="s">
        <v>4980</v>
      </c>
      <c r="M1531" s="27">
        <v>170</v>
      </c>
      <c r="N1531" s="30">
        <v>0.31</v>
      </c>
      <c r="O1531" s="27">
        <v>146</v>
      </c>
      <c r="P1531" s="27">
        <v>216</v>
      </c>
      <c r="Q1531" s="27">
        <v>20</v>
      </c>
      <c r="R1531" s="29" t="s">
        <v>43</v>
      </c>
      <c r="S1531" s="29" t="s">
        <v>505</v>
      </c>
      <c r="T1531" s="28">
        <v>2000</v>
      </c>
      <c r="U1531" s="29" t="s">
        <v>52</v>
      </c>
      <c r="V1531" s="29" t="s">
        <v>64</v>
      </c>
      <c r="W1531" s="27">
        <v>10</v>
      </c>
      <c r="X1531" s="37" t="str">
        <f>HYPERLINK("https://www.alpinabook.ru/catalog/book-0","ссылка на книгу")</f>
        <v>ссылка на книгу</v>
      </c>
      <c r="Y1531" s="38" t="str">
        <f>HYPERLINK("https://api-enni.alpina.ru/FilePrivilegesApproval/73","https://api-enni.alpina.ru/FilePrivilegesApproval/73")</f>
        <v>https://api-enni.alpina.ru/FilePrivilegesApproval/73</v>
      </c>
      <c r="Z1531" s="29"/>
      <c r="AT1531" s="1">
        <f t="shared" si="268"/>
        <v>0</v>
      </c>
      <c r="AU1531" s="1">
        <f t="shared" si="269"/>
        <v>0</v>
      </c>
      <c r="AV1531" s="1">
        <f t="shared" si="270"/>
        <v>0</v>
      </c>
      <c r="AW1531" s="1">
        <f t="shared" si="271"/>
        <v>0</v>
      </c>
      <c r="AX1531" s="1">
        <f t="shared" si="272"/>
        <v>0</v>
      </c>
    </row>
    <row r="1532" spans="1:50" s="1" customFormat="1" ht="24.95" customHeight="1" outlineLevel="3" x14ac:dyDescent="0.2">
      <c r="A1532" s="11"/>
      <c r="B1532" s="12">
        <v>790</v>
      </c>
      <c r="C1532" s="15">
        <v>1190</v>
      </c>
      <c r="D1532" s="12">
        <v>5266</v>
      </c>
      <c r="E1532" s="13" t="s">
        <v>501</v>
      </c>
      <c r="F1532" s="13" t="s">
        <v>4981</v>
      </c>
      <c r="G1532" s="13" t="s">
        <v>56</v>
      </c>
      <c r="H1532" s="13" t="s">
        <v>40</v>
      </c>
      <c r="I1532" s="12">
        <v>2025</v>
      </c>
      <c r="J1532" s="13" t="s">
        <v>4982</v>
      </c>
      <c r="K1532" s="12">
        <v>9785961466027</v>
      </c>
      <c r="L1532" s="13" t="s">
        <v>4983</v>
      </c>
      <c r="M1532" s="12">
        <v>290</v>
      </c>
      <c r="N1532" s="14">
        <v>0.42</v>
      </c>
      <c r="O1532" s="12">
        <v>153</v>
      </c>
      <c r="P1532" s="12">
        <v>216</v>
      </c>
      <c r="Q1532" s="12">
        <v>6</v>
      </c>
      <c r="R1532" s="13" t="s">
        <v>43</v>
      </c>
      <c r="S1532" s="13" t="s">
        <v>505</v>
      </c>
      <c r="T1532" s="15">
        <v>1000</v>
      </c>
      <c r="U1532" s="13" t="s">
        <v>52</v>
      </c>
      <c r="V1532" s="13" t="s">
        <v>64</v>
      </c>
      <c r="W1532" s="12">
        <v>10</v>
      </c>
      <c r="X1532" s="33" t="str">
        <f>HYPERLINK("https://www.alpinabook.ru/catalog/book-upravlenie-biznesom","ссылка на книгу")</f>
        <v>ссылка на книгу</v>
      </c>
      <c r="Y1532" s="34" t="str">
        <f>HYPERLINK("https://api-enni.alpina.ru/FilePrivilegesApproval/152","https://api-enni.alpina.ru/FilePrivilegesApproval/152")</f>
        <v>https://api-enni.alpina.ru/FilePrivilegesApproval/152</v>
      </c>
      <c r="Z1532" s="13" t="s">
        <v>4937</v>
      </c>
      <c r="AT1532" s="1">
        <f t="shared" si="268"/>
        <v>0</v>
      </c>
      <c r="AU1532" s="1">
        <f t="shared" si="269"/>
        <v>0</v>
      </c>
      <c r="AV1532" s="1">
        <f t="shared" si="270"/>
        <v>0</v>
      </c>
      <c r="AW1532" s="1">
        <f t="shared" si="271"/>
        <v>0</v>
      </c>
      <c r="AX1532" s="1">
        <f t="shared" si="272"/>
        <v>0</v>
      </c>
    </row>
    <row r="1533" spans="1:50" s="1" customFormat="1" ht="24.95" customHeight="1" outlineLevel="3" x14ac:dyDescent="0.2">
      <c r="A1533" s="11"/>
      <c r="B1533" s="12">
        <v>790</v>
      </c>
      <c r="C1533" s="15">
        <v>1190</v>
      </c>
      <c r="D1533" s="12">
        <v>13861</v>
      </c>
      <c r="E1533" s="13" t="s">
        <v>501</v>
      </c>
      <c r="F1533" s="13" t="s">
        <v>4984</v>
      </c>
      <c r="G1533" s="13" t="s">
        <v>56</v>
      </c>
      <c r="H1533" s="13" t="s">
        <v>40</v>
      </c>
      <c r="I1533" s="12">
        <v>2024</v>
      </c>
      <c r="J1533" s="13" t="s">
        <v>4985</v>
      </c>
      <c r="K1533" s="12">
        <v>9785961480344</v>
      </c>
      <c r="L1533" s="13" t="s">
        <v>4986</v>
      </c>
      <c r="M1533" s="12">
        <v>205</v>
      </c>
      <c r="N1533" s="14">
        <v>0.36</v>
      </c>
      <c r="O1533" s="12">
        <v>150</v>
      </c>
      <c r="P1533" s="12">
        <v>220</v>
      </c>
      <c r="Q1533" s="12">
        <v>16</v>
      </c>
      <c r="R1533" s="13" t="s">
        <v>43</v>
      </c>
      <c r="S1533" s="13" t="s">
        <v>505</v>
      </c>
      <c r="T1533" s="15">
        <v>2500</v>
      </c>
      <c r="U1533" s="13" t="s">
        <v>52</v>
      </c>
      <c r="V1533" s="13" t="s">
        <v>64</v>
      </c>
      <c r="W1533" s="12">
        <v>10</v>
      </c>
      <c r="X1533" s="33" t="str">
        <f>HYPERLINK("https://www.alpinabook.ru/catalog/book-upravlenie-i-liderstvo-dlya-nachinayushchikh-rukovoditeley","ссылка на книгу")</f>
        <v>ссылка на книгу</v>
      </c>
      <c r="Y1533" s="34" t="str">
        <f>HYPERLINK("https://api-enni.alpina.ru/FilePrivilegesApproval/157","https://api-enni.alpina.ru/FilePrivilegesApproval/157")</f>
        <v>https://api-enni.alpina.ru/FilePrivilegesApproval/157</v>
      </c>
      <c r="Z1533" s="13"/>
      <c r="AT1533" s="1">
        <f t="shared" si="268"/>
        <v>0</v>
      </c>
      <c r="AU1533" s="1">
        <f t="shared" si="269"/>
        <v>0</v>
      </c>
      <c r="AV1533" s="1">
        <f t="shared" si="270"/>
        <v>0</v>
      </c>
      <c r="AW1533" s="1">
        <f t="shared" si="271"/>
        <v>0</v>
      </c>
      <c r="AX1533" s="1">
        <f t="shared" si="272"/>
        <v>0</v>
      </c>
    </row>
    <row r="1534" spans="1:50" s="1" customFormat="1" ht="24.95" customHeight="1" outlineLevel="3" x14ac:dyDescent="0.2">
      <c r="A1534" s="11"/>
      <c r="B1534" s="12">
        <v>790</v>
      </c>
      <c r="C1534" s="15">
        <v>1190</v>
      </c>
      <c r="D1534" s="12">
        <v>5257</v>
      </c>
      <c r="E1534" s="13" t="s">
        <v>501</v>
      </c>
      <c r="F1534" s="13" t="s">
        <v>4987</v>
      </c>
      <c r="G1534" s="13" t="s">
        <v>56</v>
      </c>
      <c r="H1534" s="13" t="s">
        <v>40</v>
      </c>
      <c r="I1534" s="12">
        <v>2025</v>
      </c>
      <c r="J1534" s="13" t="s">
        <v>4988</v>
      </c>
      <c r="K1534" s="12">
        <v>9785961460704</v>
      </c>
      <c r="L1534" s="13" t="s">
        <v>4989</v>
      </c>
      <c r="M1534" s="12">
        <v>226</v>
      </c>
      <c r="N1534" s="14">
        <v>0.39</v>
      </c>
      <c r="O1534" s="12">
        <v>153</v>
      </c>
      <c r="P1534" s="12">
        <v>216</v>
      </c>
      <c r="Q1534" s="12">
        <v>6</v>
      </c>
      <c r="R1534" s="13" t="s">
        <v>43</v>
      </c>
      <c r="S1534" s="13" t="s">
        <v>505</v>
      </c>
      <c r="T1534" s="15">
        <v>1000</v>
      </c>
      <c r="U1534" s="13" t="s">
        <v>52</v>
      </c>
      <c r="V1534" s="13" t="s">
        <v>64</v>
      </c>
      <c r="W1534" s="12">
        <v>10</v>
      </c>
      <c r="X1534" s="33" t="str">
        <f>HYPERLINK("https://www.alpinabook.ru/catalog/book-upravlenie-izmeneniyami","ссылка на книгу")</f>
        <v>ссылка на книгу</v>
      </c>
      <c r="Y1534" s="34" t="str">
        <f>HYPERLINK("https://api-enni.alpina.ru/FilePrivilegesApproval/152","https://api-enni.alpina.ru/FilePrivilegesApproval/152")</f>
        <v>https://api-enni.alpina.ru/FilePrivilegesApproval/152</v>
      </c>
      <c r="Z1534" s="13" t="s">
        <v>4937</v>
      </c>
      <c r="AT1534" s="1">
        <f t="shared" si="268"/>
        <v>0</v>
      </c>
      <c r="AU1534" s="1">
        <f t="shared" si="269"/>
        <v>0</v>
      </c>
      <c r="AV1534" s="1">
        <f t="shared" si="270"/>
        <v>0</v>
      </c>
      <c r="AW1534" s="1">
        <f t="shared" si="271"/>
        <v>0</v>
      </c>
      <c r="AX1534" s="1">
        <f t="shared" si="272"/>
        <v>0</v>
      </c>
    </row>
    <row r="1535" spans="1:50" s="1" customFormat="1" ht="24.95" customHeight="1" outlineLevel="3" x14ac:dyDescent="0.2">
      <c r="A1535" s="11"/>
      <c r="B1535" s="12">
        <v>790</v>
      </c>
      <c r="C1535" s="15">
        <v>1190</v>
      </c>
      <c r="D1535" s="12">
        <v>7347</v>
      </c>
      <c r="E1535" s="13" t="s">
        <v>501</v>
      </c>
      <c r="F1535" s="13" t="s">
        <v>4990</v>
      </c>
      <c r="G1535" s="13" t="s">
        <v>56</v>
      </c>
      <c r="H1535" s="13" t="s">
        <v>40</v>
      </c>
      <c r="I1535" s="12">
        <v>2025</v>
      </c>
      <c r="J1535" s="13" t="s">
        <v>4991</v>
      </c>
      <c r="K1535" s="12">
        <v>9785961464962</v>
      </c>
      <c r="L1535" s="13" t="s">
        <v>4992</v>
      </c>
      <c r="M1535" s="12">
        <v>224</v>
      </c>
      <c r="N1535" s="14">
        <v>0.37</v>
      </c>
      <c r="O1535" s="12">
        <v>140</v>
      </c>
      <c r="P1535" s="12">
        <v>210</v>
      </c>
      <c r="Q1535" s="12">
        <v>7</v>
      </c>
      <c r="R1535" s="13" t="s">
        <v>43</v>
      </c>
      <c r="S1535" s="13" t="s">
        <v>505</v>
      </c>
      <c r="T1535" s="15">
        <v>1000</v>
      </c>
      <c r="U1535" s="13" t="s">
        <v>52</v>
      </c>
      <c r="V1535" s="13" t="s">
        <v>64</v>
      </c>
      <c r="W1535" s="12">
        <v>10</v>
      </c>
      <c r="X1535" s="33" t="str">
        <f>HYPERLINK("","ссылка на книгу")</f>
        <v>ссылка на книгу</v>
      </c>
      <c r="Y1535" s="34" t="str">
        <f>HYPERLINK("https://api-enni.alpina.ru/FilePrivilegesApproval/162","https://api-enni.alpina.ru/FilePrivilegesApproval/162")</f>
        <v>https://api-enni.alpina.ru/FilePrivilegesApproval/162</v>
      </c>
      <c r="Z1535" s="13" t="s">
        <v>101</v>
      </c>
      <c r="AT1535" s="1">
        <f t="shared" si="268"/>
        <v>0</v>
      </c>
      <c r="AU1535" s="1">
        <f t="shared" si="269"/>
        <v>0</v>
      </c>
      <c r="AV1535" s="1">
        <f t="shared" si="270"/>
        <v>0</v>
      </c>
      <c r="AW1535" s="1">
        <f t="shared" si="271"/>
        <v>0</v>
      </c>
      <c r="AX1535" s="1">
        <f t="shared" si="272"/>
        <v>0</v>
      </c>
    </row>
    <row r="1536" spans="1:50" s="1" customFormat="1" ht="24.95" customHeight="1" outlineLevel="3" x14ac:dyDescent="0.2">
      <c r="A1536" s="11"/>
      <c r="B1536" s="12">
        <v>790</v>
      </c>
      <c r="C1536" s="15">
        <v>1190</v>
      </c>
      <c r="D1536" s="12">
        <v>13864</v>
      </c>
      <c r="E1536" s="13" t="s">
        <v>501</v>
      </c>
      <c r="F1536" s="13" t="s">
        <v>4993</v>
      </c>
      <c r="G1536" s="13" t="s">
        <v>56</v>
      </c>
      <c r="H1536" s="13" t="s">
        <v>40</v>
      </c>
      <c r="I1536" s="12">
        <v>2024</v>
      </c>
      <c r="J1536" s="13" t="s">
        <v>4994</v>
      </c>
      <c r="K1536" s="12">
        <v>9785961480337</v>
      </c>
      <c r="L1536" s="13" t="s">
        <v>4995</v>
      </c>
      <c r="M1536" s="12">
        <v>266</v>
      </c>
      <c r="N1536" s="14">
        <v>0.45</v>
      </c>
      <c r="O1536" s="12">
        <v>160</v>
      </c>
      <c r="P1536" s="12">
        <v>220</v>
      </c>
      <c r="Q1536" s="12">
        <v>7</v>
      </c>
      <c r="R1536" s="13" t="s">
        <v>43</v>
      </c>
      <c r="S1536" s="13" t="s">
        <v>505</v>
      </c>
      <c r="T1536" s="15">
        <v>1000</v>
      </c>
      <c r="U1536" s="13" t="s">
        <v>52</v>
      </c>
      <c r="V1536" s="13" t="s">
        <v>64</v>
      </c>
      <c r="W1536" s="12">
        <v>10</v>
      </c>
      <c r="X1536" s="33" t="str">
        <f>HYPERLINK("https://www.alpinabook.ru/catalog/book-upravlenie-kompaniey","ссылка на книгу")</f>
        <v>ссылка на книгу</v>
      </c>
      <c r="Y1536" s="34" t="str">
        <f>HYPERLINK("https://api-enni.alpina.ru/FilePrivilegesApproval/163","https://api-enni.alpina.ru/FilePrivilegesApproval/163")</f>
        <v>https://api-enni.alpina.ru/FilePrivilegesApproval/163</v>
      </c>
      <c r="Z1536" s="13"/>
      <c r="AT1536" s="1">
        <f t="shared" si="268"/>
        <v>0</v>
      </c>
      <c r="AU1536" s="1">
        <f t="shared" si="269"/>
        <v>0</v>
      </c>
      <c r="AV1536" s="1">
        <f t="shared" si="270"/>
        <v>0</v>
      </c>
      <c r="AW1536" s="1">
        <f t="shared" si="271"/>
        <v>0</v>
      </c>
      <c r="AX1536" s="1">
        <f t="shared" si="272"/>
        <v>0</v>
      </c>
    </row>
    <row r="1537" spans="1:50" s="1" customFormat="1" ht="24.95" customHeight="1" outlineLevel="3" x14ac:dyDescent="0.2">
      <c r="A1537" s="11"/>
      <c r="B1537" s="12">
        <v>790</v>
      </c>
      <c r="C1537" s="15">
        <v>1190</v>
      </c>
      <c r="D1537" s="12">
        <v>5261</v>
      </c>
      <c r="E1537" s="13" t="s">
        <v>501</v>
      </c>
      <c r="F1537" s="13" t="s">
        <v>4996</v>
      </c>
      <c r="G1537" s="13" t="s">
        <v>56</v>
      </c>
      <c r="H1537" s="13" t="s">
        <v>40</v>
      </c>
      <c r="I1537" s="12">
        <v>2025</v>
      </c>
      <c r="J1537" s="13" t="s">
        <v>4997</v>
      </c>
      <c r="K1537" s="12">
        <v>9785961471168</v>
      </c>
      <c r="L1537" s="13" t="s">
        <v>4998</v>
      </c>
      <c r="M1537" s="12">
        <v>242</v>
      </c>
      <c r="N1537" s="14">
        <v>0.41</v>
      </c>
      <c r="O1537" s="12">
        <v>153</v>
      </c>
      <c r="P1537" s="12">
        <v>216</v>
      </c>
      <c r="Q1537" s="12">
        <v>14</v>
      </c>
      <c r="R1537" s="13" t="s">
        <v>43</v>
      </c>
      <c r="S1537" s="13" t="s">
        <v>505</v>
      </c>
      <c r="T1537" s="15">
        <v>2000</v>
      </c>
      <c r="U1537" s="13" t="s">
        <v>52</v>
      </c>
      <c r="V1537" s="13" t="s">
        <v>64</v>
      </c>
      <c r="W1537" s="12">
        <v>10</v>
      </c>
      <c r="X1537" s="33" t="str">
        <f>HYPERLINK("https://www.alpinabook.ru/catalog/book-upravlenie-personalom","ссылка на книгу")</f>
        <v>ссылка на книгу</v>
      </c>
      <c r="Y1537" s="34" t="str">
        <f>HYPERLINK("https://api-enni.alpina.ru/FilePrivilegesApproval/2","https://api-enni.alpina.ru/FilePrivilegesApproval/2")</f>
        <v>https://api-enni.alpina.ru/FilePrivilegesApproval/2</v>
      </c>
      <c r="Z1537" s="13"/>
      <c r="AT1537" s="1">
        <f t="shared" si="268"/>
        <v>0</v>
      </c>
      <c r="AU1537" s="1">
        <f t="shared" si="269"/>
        <v>0</v>
      </c>
      <c r="AV1537" s="1">
        <f t="shared" si="270"/>
        <v>0</v>
      </c>
      <c r="AW1537" s="1">
        <f t="shared" si="271"/>
        <v>0</v>
      </c>
      <c r="AX1537" s="1">
        <f t="shared" si="272"/>
        <v>0</v>
      </c>
    </row>
    <row r="1538" spans="1:50" s="1" customFormat="1" ht="24.95" customHeight="1" outlineLevel="3" x14ac:dyDescent="0.2">
      <c r="A1538" s="11"/>
      <c r="B1538" s="12">
        <v>790</v>
      </c>
      <c r="C1538" s="15">
        <v>1190</v>
      </c>
      <c r="D1538" s="12">
        <v>18439</v>
      </c>
      <c r="E1538" s="13" t="s">
        <v>501</v>
      </c>
      <c r="F1538" s="13" t="s">
        <v>4999</v>
      </c>
      <c r="G1538" s="13" t="s">
        <v>56</v>
      </c>
      <c r="H1538" s="13" t="s">
        <v>40</v>
      </c>
      <c r="I1538" s="12">
        <v>2025</v>
      </c>
      <c r="J1538" s="13" t="s">
        <v>5000</v>
      </c>
      <c r="K1538" s="12">
        <v>9785961481860</v>
      </c>
      <c r="L1538" s="13" t="s">
        <v>5001</v>
      </c>
      <c r="M1538" s="12">
        <v>206</v>
      </c>
      <c r="N1538" s="14">
        <v>0.36</v>
      </c>
      <c r="O1538" s="12">
        <v>160</v>
      </c>
      <c r="P1538" s="12">
        <v>220</v>
      </c>
      <c r="Q1538" s="12">
        <v>5</v>
      </c>
      <c r="R1538" s="13" t="s">
        <v>43</v>
      </c>
      <c r="S1538" s="13" t="s">
        <v>505</v>
      </c>
      <c r="T1538" s="15">
        <v>1000</v>
      </c>
      <c r="U1538" s="13" t="s">
        <v>52</v>
      </c>
      <c r="V1538" s="13" t="s">
        <v>64</v>
      </c>
      <c r="W1538" s="12">
        <v>10</v>
      </c>
      <c r="X1538" s="33" t="str">
        <f>HYPERLINK("https://www.alpinabook.ru/catalog/book-upravlenie-riskami-hbr","ссылка на книгу")</f>
        <v>ссылка на книгу</v>
      </c>
      <c r="Y1538" s="34" t="str">
        <f>HYPERLINK("https://api-enni.alpina.ru/FilePrivilegesApproval/157","https://api-enni.alpina.ru/FilePrivilegesApproval/157")</f>
        <v>https://api-enni.alpina.ru/FilePrivilegesApproval/157</v>
      </c>
      <c r="Z1538" s="13" t="s">
        <v>847</v>
      </c>
      <c r="AT1538" s="1">
        <f t="shared" si="268"/>
        <v>0</v>
      </c>
      <c r="AU1538" s="1">
        <f t="shared" si="269"/>
        <v>0</v>
      </c>
      <c r="AV1538" s="1">
        <f t="shared" si="270"/>
        <v>0</v>
      </c>
      <c r="AW1538" s="1">
        <f t="shared" si="271"/>
        <v>0</v>
      </c>
      <c r="AX1538" s="1">
        <f t="shared" si="272"/>
        <v>0</v>
      </c>
    </row>
    <row r="1539" spans="1:50" s="1" customFormat="1" ht="24.95" customHeight="1" outlineLevel="3" x14ac:dyDescent="0.2">
      <c r="A1539" s="11"/>
      <c r="B1539" s="12">
        <v>790</v>
      </c>
      <c r="C1539" s="15">
        <v>1190</v>
      </c>
      <c r="D1539" s="12">
        <v>5258</v>
      </c>
      <c r="E1539" s="13" t="s">
        <v>501</v>
      </c>
      <c r="F1539" s="13" t="s">
        <v>5002</v>
      </c>
      <c r="G1539" s="13" t="s">
        <v>56</v>
      </c>
      <c r="H1539" s="13" t="s">
        <v>40</v>
      </c>
      <c r="I1539" s="12">
        <v>2025</v>
      </c>
      <c r="J1539" s="13" t="s">
        <v>5003</v>
      </c>
      <c r="K1539" s="12">
        <v>9785961470239</v>
      </c>
      <c r="L1539" s="13" t="s">
        <v>5004</v>
      </c>
      <c r="M1539" s="12">
        <v>188</v>
      </c>
      <c r="N1539" s="14">
        <v>0.35</v>
      </c>
      <c r="O1539" s="12">
        <v>146</v>
      </c>
      <c r="P1539" s="12">
        <v>216</v>
      </c>
      <c r="Q1539" s="12">
        <v>8</v>
      </c>
      <c r="R1539" s="13" t="s">
        <v>43</v>
      </c>
      <c r="S1539" s="13" t="s">
        <v>505</v>
      </c>
      <c r="T1539" s="15">
        <v>1500</v>
      </c>
      <c r="U1539" s="13" t="s">
        <v>52</v>
      </c>
      <c r="V1539" s="13" t="s">
        <v>64</v>
      </c>
      <c r="W1539" s="12">
        <v>10</v>
      </c>
      <c r="X1539" s="33" t="str">
        <f>HYPERLINK("https://www.alpinabook.ru/catalog/book-emotsionalnyy-intellekt","ссылка на книгу")</f>
        <v>ссылка на книгу</v>
      </c>
      <c r="Y1539" s="34" t="str">
        <f>HYPERLINK("https://api-enni.alpina.ru/FilePrivilegesApproval/2","https://api-enni.alpina.ru/FilePrivilegesApproval/2")</f>
        <v>https://api-enni.alpina.ru/FilePrivilegesApproval/2</v>
      </c>
      <c r="Z1539" s="13"/>
      <c r="AT1539" s="1">
        <f t="shared" si="268"/>
        <v>0</v>
      </c>
      <c r="AU1539" s="1">
        <f t="shared" si="269"/>
        <v>0</v>
      </c>
      <c r="AV1539" s="1">
        <f t="shared" si="270"/>
        <v>0</v>
      </c>
      <c r="AW1539" s="1">
        <f t="shared" si="271"/>
        <v>0</v>
      </c>
      <c r="AX1539" s="1">
        <f t="shared" si="272"/>
        <v>0</v>
      </c>
    </row>
    <row r="1540" spans="1:50" ht="11.1" customHeight="1" outlineLevel="2" x14ac:dyDescent="0.2">
      <c r="A1540" s="40" t="s">
        <v>5005</v>
      </c>
      <c r="B1540" s="40"/>
      <c r="C1540" s="40"/>
      <c r="D1540" s="40"/>
      <c r="E1540" s="40"/>
      <c r="F1540" s="40"/>
      <c r="G1540" s="40"/>
      <c r="H1540" s="40"/>
      <c r="I1540" s="40"/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20"/>
    </row>
    <row r="1541" spans="1:50" s="1" customFormat="1" ht="24.95" customHeight="1" outlineLevel="3" x14ac:dyDescent="0.2">
      <c r="A1541" s="11"/>
      <c r="B1541" s="15">
        <v>1190</v>
      </c>
      <c r="C1541" s="15">
        <v>1690</v>
      </c>
      <c r="D1541" s="12">
        <v>6545</v>
      </c>
      <c r="E1541" s="13" t="s">
        <v>5006</v>
      </c>
      <c r="F1541" s="13" t="s">
        <v>5007</v>
      </c>
      <c r="G1541" s="13" t="s">
        <v>56</v>
      </c>
      <c r="H1541" s="13" t="s">
        <v>40</v>
      </c>
      <c r="I1541" s="12">
        <v>2024</v>
      </c>
      <c r="J1541" s="13" t="s">
        <v>5008</v>
      </c>
      <c r="K1541" s="12">
        <v>9785961463613</v>
      </c>
      <c r="L1541" s="13" t="s">
        <v>5009</v>
      </c>
      <c r="M1541" s="12">
        <v>534</v>
      </c>
      <c r="N1541" s="14">
        <v>0.85</v>
      </c>
      <c r="O1541" s="12">
        <v>163</v>
      </c>
      <c r="P1541" s="12">
        <v>235</v>
      </c>
      <c r="Q1541" s="12">
        <v>5</v>
      </c>
      <c r="R1541" s="13" t="s">
        <v>94</v>
      </c>
      <c r="S1541" s="13" t="s">
        <v>5010</v>
      </c>
      <c r="T1541" s="15">
        <v>1000</v>
      </c>
      <c r="U1541" s="13" t="s">
        <v>44</v>
      </c>
      <c r="V1541" s="13" t="s">
        <v>45</v>
      </c>
      <c r="W1541" s="12">
        <v>10</v>
      </c>
      <c r="X1541" s="33" t="str">
        <f>HYPERLINK("https://www.alpinabook.ru/catalog/book-agile-menedzhment","ссылка на книгу")</f>
        <v>ссылка на книгу</v>
      </c>
      <c r="Y1541" s="34" t="str">
        <f>HYPERLINK("https://api-enni.alpina.ru/FilePrivilegesApproval/156","https://api-enni.alpina.ru/FilePrivilegesApproval/156")</f>
        <v>https://api-enni.alpina.ru/FilePrivilegesApproval/156</v>
      </c>
      <c r="Z1541" s="13"/>
      <c r="AT1541" s="1">
        <f t="shared" ref="AT1541:AT1546" si="273">IF($A1541&lt;&gt;0,1,0)</f>
        <v>0</v>
      </c>
      <c r="AU1541" s="1">
        <f t="shared" ref="AU1541:AU1546" si="274">$A1541*$B1541</f>
        <v>0</v>
      </c>
      <c r="AV1541" s="1">
        <f t="shared" ref="AV1541:AV1546" si="275">$A1541*$N1541</f>
        <v>0</v>
      </c>
      <c r="AW1541" s="1">
        <f t="shared" ref="AW1541:AW1546" si="276">IF($Q1541=0,0,INT($A1541/$Q1541))</f>
        <v>0</v>
      </c>
      <c r="AX1541" s="1">
        <f t="shared" ref="AX1541:AX1546" si="277">$A1541-$AW1541*$Q1541</f>
        <v>0</v>
      </c>
    </row>
    <row r="1542" spans="1:50" s="1" customFormat="1" ht="24.95" customHeight="1" outlineLevel="3" x14ac:dyDescent="0.2">
      <c r="A1542" s="11"/>
      <c r="B1542" s="15">
        <v>1190</v>
      </c>
      <c r="C1542" s="15">
        <v>1690</v>
      </c>
      <c r="D1542" s="12">
        <v>15980</v>
      </c>
      <c r="E1542" s="13" t="s">
        <v>5011</v>
      </c>
      <c r="F1542" s="13" t="s">
        <v>5012</v>
      </c>
      <c r="G1542" s="13" t="s">
        <v>56</v>
      </c>
      <c r="H1542" s="13" t="s">
        <v>40</v>
      </c>
      <c r="I1542" s="12">
        <v>2023</v>
      </c>
      <c r="J1542" s="13" t="s">
        <v>5013</v>
      </c>
      <c r="K1542" s="12">
        <v>9785961477450</v>
      </c>
      <c r="L1542" s="13" t="s">
        <v>5014</v>
      </c>
      <c r="M1542" s="12">
        <v>220</v>
      </c>
      <c r="N1542" s="14">
        <v>0.45</v>
      </c>
      <c r="O1542" s="12">
        <v>170</v>
      </c>
      <c r="P1542" s="12">
        <v>240</v>
      </c>
      <c r="Q1542" s="12">
        <v>8</v>
      </c>
      <c r="R1542" s="13" t="s">
        <v>94</v>
      </c>
      <c r="S1542" s="13" t="s">
        <v>5010</v>
      </c>
      <c r="T1542" s="15">
        <v>1500</v>
      </c>
      <c r="U1542" s="13" t="s">
        <v>44</v>
      </c>
      <c r="V1542" s="13" t="s">
        <v>59</v>
      </c>
      <c r="W1542" s="12">
        <v>10</v>
      </c>
      <c r="X1542" s="33" t="str">
        <f>HYPERLINK("https://www.alpinabook.ru/catalog/book-gibkoe-upravlenie-perevesti-na-skram","ссылка на книгу")</f>
        <v>ссылка на книгу</v>
      </c>
      <c r="Y1542" s="34" t="str">
        <f>HYPERLINK("https://api-enni.alpina.ru/FilePrivilegesApproval/177","https://api-enni.alpina.ru/FilePrivilegesApproval/177")</f>
        <v>https://api-enni.alpina.ru/FilePrivilegesApproval/177</v>
      </c>
      <c r="Z1542" s="13"/>
      <c r="AT1542" s="1">
        <f t="shared" si="273"/>
        <v>0</v>
      </c>
      <c r="AU1542" s="1">
        <f t="shared" si="274"/>
        <v>0</v>
      </c>
      <c r="AV1542" s="1">
        <f t="shared" si="275"/>
        <v>0</v>
      </c>
      <c r="AW1542" s="1">
        <f t="shared" si="276"/>
        <v>0</v>
      </c>
      <c r="AX1542" s="1">
        <f t="shared" si="277"/>
        <v>0</v>
      </c>
    </row>
    <row r="1543" spans="1:50" s="1" customFormat="1" ht="24.95" customHeight="1" outlineLevel="3" x14ac:dyDescent="0.2">
      <c r="A1543" s="11"/>
      <c r="B1543" s="12">
        <v>890</v>
      </c>
      <c r="C1543" s="15">
        <v>1290</v>
      </c>
      <c r="D1543" s="12">
        <v>8920</v>
      </c>
      <c r="E1543" s="13" t="s">
        <v>5015</v>
      </c>
      <c r="F1543" s="13" t="s">
        <v>5016</v>
      </c>
      <c r="G1543" s="13" t="s">
        <v>56</v>
      </c>
      <c r="H1543" s="13" t="s">
        <v>40</v>
      </c>
      <c r="I1543" s="12">
        <v>2024</v>
      </c>
      <c r="J1543" s="13" t="s">
        <v>5017</v>
      </c>
      <c r="K1543" s="12">
        <v>9785961434545</v>
      </c>
      <c r="L1543" s="13" t="s">
        <v>5018</v>
      </c>
      <c r="M1543" s="12">
        <v>304</v>
      </c>
      <c r="N1543" s="14">
        <v>0.47</v>
      </c>
      <c r="O1543" s="12">
        <v>163</v>
      </c>
      <c r="P1543" s="12">
        <v>235</v>
      </c>
      <c r="Q1543" s="12">
        <v>10</v>
      </c>
      <c r="R1543" s="13" t="s">
        <v>94</v>
      </c>
      <c r="S1543" s="13" t="s">
        <v>5010</v>
      </c>
      <c r="T1543" s="15">
        <v>1500</v>
      </c>
      <c r="U1543" s="13" t="s">
        <v>44</v>
      </c>
      <c r="V1543" s="13" t="s">
        <v>64</v>
      </c>
      <c r="W1543" s="12">
        <v>10</v>
      </c>
      <c r="X1543" s="33" t="str">
        <f>HYPERLINK("https://www.alpinabook.ru/catalog/book-kanban-metod","ссылка на книгу")</f>
        <v>ссылка на книгу</v>
      </c>
      <c r="Y1543" s="34" t="str">
        <f>HYPERLINK("https://api-enni.alpina.ru/FilePrivilegesApproval/80","https://api-enni.alpina.ru/FilePrivilegesApproval/80")</f>
        <v>https://api-enni.alpina.ru/FilePrivilegesApproval/80</v>
      </c>
      <c r="Z1543" s="13"/>
      <c r="AT1543" s="1">
        <f t="shared" si="273"/>
        <v>0</v>
      </c>
      <c r="AU1543" s="1">
        <f t="shared" si="274"/>
        <v>0</v>
      </c>
      <c r="AV1543" s="1">
        <f t="shared" si="275"/>
        <v>0</v>
      </c>
      <c r="AW1543" s="1">
        <f t="shared" si="276"/>
        <v>0</v>
      </c>
      <c r="AX1543" s="1">
        <f t="shared" si="277"/>
        <v>0</v>
      </c>
    </row>
    <row r="1544" spans="1:50" s="1" customFormat="1" ht="24.95" customHeight="1" outlineLevel="3" x14ac:dyDescent="0.2">
      <c r="A1544" s="11"/>
      <c r="B1544" s="15">
        <v>1490</v>
      </c>
      <c r="C1544" s="15">
        <v>1490</v>
      </c>
      <c r="D1544" s="12">
        <v>11582</v>
      </c>
      <c r="E1544" s="13" t="s">
        <v>5019</v>
      </c>
      <c r="F1544" s="13" t="s">
        <v>5020</v>
      </c>
      <c r="G1544" s="13" t="s">
        <v>56</v>
      </c>
      <c r="H1544" s="13" t="s">
        <v>40</v>
      </c>
      <c r="I1544" s="12">
        <v>2023</v>
      </c>
      <c r="J1544" s="13" t="s">
        <v>5021</v>
      </c>
      <c r="K1544" s="12">
        <v>9785961436822</v>
      </c>
      <c r="L1544" s="13" t="s">
        <v>5022</v>
      </c>
      <c r="M1544" s="12">
        <v>389</v>
      </c>
      <c r="N1544" s="14">
        <v>0.6</v>
      </c>
      <c r="O1544" s="12">
        <v>163</v>
      </c>
      <c r="P1544" s="12">
        <v>235</v>
      </c>
      <c r="Q1544" s="12">
        <v>7</v>
      </c>
      <c r="R1544" s="13" t="s">
        <v>94</v>
      </c>
      <c r="S1544" s="13" t="s">
        <v>5010</v>
      </c>
      <c r="T1544" s="15">
        <v>1500</v>
      </c>
      <c r="U1544" s="13" t="s">
        <v>44</v>
      </c>
      <c r="V1544" s="13" t="s">
        <v>59</v>
      </c>
      <c r="W1544" s="12">
        <v>10</v>
      </c>
      <c r="X1544" s="33" t="str">
        <f>HYPERLINK("https://www.alpinabook.ru/catalog/book-masshtabirovannyy-skram","ссылка на книгу")</f>
        <v>ссылка на книгу</v>
      </c>
      <c r="Y1544" s="34" t="str">
        <f>HYPERLINK("https://api-enni.alpina.ru/FilePrivilegesApproval/163","https://api-enni.alpina.ru/FilePrivilegesApproval/163")</f>
        <v>https://api-enni.alpina.ru/FilePrivilegesApproval/163</v>
      </c>
      <c r="Z1544" s="13"/>
      <c r="AT1544" s="1">
        <f t="shared" si="273"/>
        <v>0</v>
      </c>
      <c r="AU1544" s="1">
        <f t="shared" si="274"/>
        <v>0</v>
      </c>
      <c r="AV1544" s="1">
        <f t="shared" si="275"/>
        <v>0</v>
      </c>
      <c r="AW1544" s="1">
        <f t="shared" si="276"/>
        <v>0</v>
      </c>
      <c r="AX1544" s="1">
        <f t="shared" si="277"/>
        <v>0</v>
      </c>
    </row>
    <row r="1545" spans="1:50" s="1" customFormat="1" ht="24.95" customHeight="1" outlineLevel="3" x14ac:dyDescent="0.2">
      <c r="A1545" s="11"/>
      <c r="B1545" s="15">
        <v>1490</v>
      </c>
      <c r="C1545" s="15">
        <v>1890</v>
      </c>
      <c r="D1545" s="12">
        <v>11040</v>
      </c>
      <c r="E1545" s="13" t="s">
        <v>5023</v>
      </c>
      <c r="F1545" s="13" t="s">
        <v>5024</v>
      </c>
      <c r="G1545" s="13" t="s">
        <v>56</v>
      </c>
      <c r="H1545" s="13" t="s">
        <v>40</v>
      </c>
      <c r="I1545" s="12">
        <v>2023</v>
      </c>
      <c r="J1545" s="13" t="s">
        <v>5025</v>
      </c>
      <c r="K1545" s="12">
        <v>9785961436808</v>
      </c>
      <c r="L1545" s="13" t="s">
        <v>5026</v>
      </c>
      <c r="M1545" s="12">
        <v>435</v>
      </c>
      <c r="N1545" s="14">
        <v>0.7</v>
      </c>
      <c r="O1545" s="12">
        <v>170</v>
      </c>
      <c r="P1545" s="12">
        <v>240</v>
      </c>
      <c r="Q1545" s="12">
        <v>5</v>
      </c>
      <c r="R1545" s="13" t="s">
        <v>94</v>
      </c>
      <c r="S1545" s="13" t="s">
        <v>5010</v>
      </c>
      <c r="T1545" s="15">
        <v>1500</v>
      </c>
      <c r="U1545" s="13" t="s">
        <v>44</v>
      </c>
      <c r="V1545" s="13" t="s">
        <v>45</v>
      </c>
      <c r="W1545" s="12">
        <v>10</v>
      </c>
      <c r="X1545" s="33" t="str">
        <f>HYPERLINK("https://www.alpinabook.ru/catalog/book-rukovodstvo-professionalnogo-skram-mastera","ссылка на книгу")</f>
        <v>ссылка на книгу</v>
      </c>
      <c r="Y1545" s="34" t="str">
        <f>HYPERLINK("https://api-enni.alpina.ru/FilePrivilegesApproval/405","https://api-enni.alpina.ru/FilePrivilegesApproval/405")</f>
        <v>https://api-enni.alpina.ru/FilePrivilegesApproval/405</v>
      </c>
      <c r="Z1545" s="13"/>
      <c r="AT1545" s="1">
        <f t="shared" si="273"/>
        <v>0</v>
      </c>
      <c r="AU1545" s="1">
        <f t="shared" si="274"/>
        <v>0</v>
      </c>
      <c r="AV1545" s="1">
        <f t="shared" si="275"/>
        <v>0</v>
      </c>
      <c r="AW1545" s="1">
        <f t="shared" si="276"/>
        <v>0</v>
      </c>
      <c r="AX1545" s="1">
        <f t="shared" si="277"/>
        <v>0</v>
      </c>
    </row>
    <row r="1546" spans="1:50" s="1" customFormat="1" ht="24.95" customHeight="1" outlineLevel="3" x14ac:dyDescent="0.2">
      <c r="A1546" s="11"/>
      <c r="B1546" s="12">
        <v>490</v>
      </c>
      <c r="C1546" s="12">
        <v>740</v>
      </c>
      <c r="D1546" s="12">
        <v>11499</v>
      </c>
      <c r="E1546" s="13" t="s">
        <v>5027</v>
      </c>
      <c r="F1546" s="13" t="s">
        <v>5028</v>
      </c>
      <c r="G1546" s="13" t="s">
        <v>56</v>
      </c>
      <c r="H1546" s="13" t="s">
        <v>40</v>
      </c>
      <c r="I1546" s="12">
        <v>2022</v>
      </c>
      <c r="J1546" s="13" t="s">
        <v>5029</v>
      </c>
      <c r="K1546" s="12">
        <v>9785961434200</v>
      </c>
      <c r="L1546" s="13" t="s">
        <v>5030</v>
      </c>
      <c r="M1546" s="12">
        <v>160</v>
      </c>
      <c r="N1546" s="14">
        <v>0.14000000000000001</v>
      </c>
      <c r="O1546" s="12">
        <v>115</v>
      </c>
      <c r="P1546" s="12">
        <v>165</v>
      </c>
      <c r="Q1546" s="12">
        <v>30</v>
      </c>
      <c r="R1546" s="13" t="s">
        <v>75</v>
      </c>
      <c r="S1546" s="13" t="s">
        <v>5010</v>
      </c>
      <c r="T1546" s="15">
        <v>1500</v>
      </c>
      <c r="U1546" s="13" t="s">
        <v>44</v>
      </c>
      <c r="V1546" s="13" t="s">
        <v>59</v>
      </c>
      <c r="W1546" s="12">
        <v>10</v>
      </c>
      <c r="X1546" s="33" t="str">
        <f>HYPERLINK("https://www.alpinabook.ru/catalog/book-skram-pravila-igry","ссылка на книгу")</f>
        <v>ссылка на книгу</v>
      </c>
      <c r="Y1546" s="34" t="str">
        <f>HYPERLINK("https://api-enni.alpina.ru/FilePrivilegesApproval/158","https://api-enni.alpina.ru/FilePrivilegesApproval/158")</f>
        <v>https://api-enni.alpina.ru/FilePrivilegesApproval/158</v>
      </c>
      <c r="Z1546" s="13"/>
      <c r="AT1546" s="1">
        <f t="shared" si="273"/>
        <v>0</v>
      </c>
      <c r="AU1546" s="1">
        <f t="shared" si="274"/>
        <v>0</v>
      </c>
      <c r="AV1546" s="1">
        <f t="shared" si="275"/>
        <v>0</v>
      </c>
      <c r="AW1546" s="1">
        <f t="shared" si="276"/>
        <v>0</v>
      </c>
      <c r="AX1546" s="1">
        <f t="shared" si="277"/>
        <v>0</v>
      </c>
    </row>
    <row r="1547" spans="1:50" ht="15" customHeight="1" outlineLevel="1" x14ac:dyDescent="0.2">
      <c r="A1547" s="39" t="s">
        <v>5031</v>
      </c>
      <c r="B1547" s="39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19"/>
    </row>
    <row r="1548" spans="1:50" ht="11.1" customHeight="1" outlineLevel="2" x14ac:dyDescent="0.2">
      <c r="A1548" s="40" t="s">
        <v>5032</v>
      </c>
      <c r="B1548" s="40"/>
      <c r="C1548" s="40"/>
      <c r="D1548" s="40"/>
      <c r="E1548" s="40"/>
      <c r="F1548" s="40"/>
      <c r="G1548" s="40"/>
      <c r="H1548" s="40"/>
      <c r="I1548" s="40"/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20"/>
    </row>
    <row r="1549" spans="1:50" s="1" customFormat="1" ht="24.95" customHeight="1" outlineLevel="3" x14ac:dyDescent="0.2">
      <c r="A1549" s="21"/>
      <c r="B1549" s="22">
        <v>940</v>
      </c>
      <c r="C1549" s="25">
        <v>1390</v>
      </c>
      <c r="D1549" s="22">
        <v>25743</v>
      </c>
      <c r="E1549" s="23" t="s">
        <v>5033</v>
      </c>
      <c r="F1549" s="23" t="s">
        <v>5034</v>
      </c>
      <c r="G1549" s="23" t="s">
        <v>97</v>
      </c>
      <c r="H1549" s="23" t="s">
        <v>40</v>
      </c>
      <c r="I1549" s="22">
        <v>2025</v>
      </c>
      <c r="J1549" s="23" t="s">
        <v>5035</v>
      </c>
      <c r="K1549" s="22">
        <v>9785206000634</v>
      </c>
      <c r="L1549" s="23" t="s">
        <v>5036</v>
      </c>
      <c r="M1549" s="22">
        <v>502</v>
      </c>
      <c r="N1549" s="24">
        <v>0.8</v>
      </c>
      <c r="O1549" s="22">
        <v>170</v>
      </c>
      <c r="P1549" s="22">
        <v>230</v>
      </c>
      <c r="Q1549" s="22">
        <v>4</v>
      </c>
      <c r="R1549" s="23" t="s">
        <v>100</v>
      </c>
      <c r="S1549" s="23"/>
      <c r="T1549" s="25">
        <v>1000</v>
      </c>
      <c r="U1549" s="23" t="s">
        <v>52</v>
      </c>
      <c r="V1549" s="23" t="s">
        <v>45</v>
      </c>
      <c r="W1549" s="22">
        <v>10</v>
      </c>
      <c r="X1549" s="35" t="str">
        <f>HYPERLINK("https://www.alpinabook.ru/catalog/book-velikie-magi-khedzh-fondov","ссылка на книгу")</f>
        <v>ссылка на книгу</v>
      </c>
      <c r="Y1549" s="36" t="str">
        <f>HYPERLINK("https://api-enni.alpina.ru/FilePrivilegesApproval/167","https://api-enni.alpina.ru/FilePrivilegesApproval/167")</f>
        <v>https://api-enni.alpina.ru/FilePrivilegesApproval/167</v>
      </c>
      <c r="Z1549" s="23"/>
      <c r="AT1549" s="1">
        <f t="shared" ref="AT1549:AT1559" si="278">IF($A1549&lt;&gt;0,1,0)</f>
        <v>0</v>
      </c>
      <c r="AU1549" s="1">
        <f t="shared" ref="AU1549:AU1559" si="279">$A1549*$B1549</f>
        <v>0</v>
      </c>
      <c r="AV1549" s="1">
        <f t="shared" ref="AV1549:AV1559" si="280">$A1549*$N1549</f>
        <v>0</v>
      </c>
      <c r="AW1549" s="1">
        <f t="shared" ref="AW1549:AW1559" si="281">IF($Q1549=0,0,INT($A1549/$Q1549))</f>
        <v>0</v>
      </c>
      <c r="AX1549" s="1">
        <f t="shared" ref="AX1549:AX1559" si="282">$A1549-$AW1549*$Q1549</f>
        <v>0</v>
      </c>
    </row>
    <row r="1550" spans="1:50" s="1" customFormat="1" ht="24.95" customHeight="1" outlineLevel="3" x14ac:dyDescent="0.2">
      <c r="A1550" s="21"/>
      <c r="B1550" s="25">
        <v>1220</v>
      </c>
      <c r="C1550" s="25">
        <v>1690</v>
      </c>
      <c r="D1550" s="22">
        <v>6610</v>
      </c>
      <c r="E1550" s="23" t="s">
        <v>5037</v>
      </c>
      <c r="F1550" s="23" t="s">
        <v>5038</v>
      </c>
      <c r="G1550" s="23" t="s">
        <v>97</v>
      </c>
      <c r="H1550" s="23" t="s">
        <v>40</v>
      </c>
      <c r="I1550" s="22">
        <v>2024</v>
      </c>
      <c r="J1550" s="23" t="s">
        <v>5039</v>
      </c>
      <c r="K1550" s="22">
        <v>9785961469950</v>
      </c>
      <c r="L1550" s="23" t="s">
        <v>5040</v>
      </c>
      <c r="M1550" s="22">
        <v>270</v>
      </c>
      <c r="N1550" s="24">
        <v>0.55000000000000004</v>
      </c>
      <c r="O1550" s="22">
        <v>170</v>
      </c>
      <c r="P1550" s="22">
        <v>220</v>
      </c>
      <c r="Q1550" s="22">
        <v>8</v>
      </c>
      <c r="R1550" s="23" t="s">
        <v>94</v>
      </c>
      <c r="S1550" s="23"/>
      <c r="T1550" s="25">
        <v>3000</v>
      </c>
      <c r="U1550" s="23" t="s">
        <v>52</v>
      </c>
      <c r="V1550" s="23" t="s">
        <v>64</v>
      </c>
      <c r="W1550" s="22">
        <v>10</v>
      </c>
      <c r="X1550" s="35" t="str">
        <f>HYPERLINK("https://www.alpinabook.ru/catalog/book-volnovoy-printsip-elliotta","ссылка на книгу")</f>
        <v>ссылка на книгу</v>
      </c>
      <c r="Y1550" s="36" t="str">
        <f>HYPERLINK("https://api-enni.alpina.ru/FilePrivilegesApproval/142","https://api-enni.alpina.ru/FilePrivilegesApproval/142")</f>
        <v>https://api-enni.alpina.ru/FilePrivilegesApproval/142</v>
      </c>
      <c r="Z1550" s="23"/>
      <c r="AT1550" s="1">
        <f t="shared" si="278"/>
        <v>0</v>
      </c>
      <c r="AU1550" s="1">
        <f t="shared" si="279"/>
        <v>0</v>
      </c>
      <c r="AV1550" s="1">
        <f t="shared" si="280"/>
        <v>0</v>
      </c>
      <c r="AW1550" s="1">
        <f t="shared" si="281"/>
        <v>0</v>
      </c>
      <c r="AX1550" s="1">
        <f t="shared" si="282"/>
        <v>0</v>
      </c>
    </row>
    <row r="1551" spans="1:50" s="1" customFormat="1" ht="24.95" customHeight="1" outlineLevel="3" x14ac:dyDescent="0.2">
      <c r="A1551" s="21"/>
      <c r="B1551" s="22">
        <v>590</v>
      </c>
      <c r="C1551" s="22">
        <v>840</v>
      </c>
      <c r="D1551" s="22">
        <v>13897</v>
      </c>
      <c r="E1551" s="23" t="s">
        <v>5041</v>
      </c>
      <c r="F1551" s="23" t="s">
        <v>5042</v>
      </c>
      <c r="G1551" s="23" t="s">
        <v>56</v>
      </c>
      <c r="H1551" s="23"/>
      <c r="I1551" s="22">
        <v>2025</v>
      </c>
      <c r="J1551" s="23" t="s">
        <v>5043</v>
      </c>
      <c r="K1551" s="22">
        <v>9785961428001</v>
      </c>
      <c r="L1551" s="23" t="s">
        <v>5044</v>
      </c>
      <c r="M1551" s="22">
        <v>202</v>
      </c>
      <c r="N1551" s="24">
        <v>0.39</v>
      </c>
      <c r="O1551" s="22">
        <v>160</v>
      </c>
      <c r="P1551" s="22">
        <v>220</v>
      </c>
      <c r="Q1551" s="22">
        <v>10</v>
      </c>
      <c r="R1551" s="23" t="s">
        <v>100</v>
      </c>
      <c r="S1551" s="23"/>
      <c r="T1551" s="25">
        <v>3000</v>
      </c>
      <c r="U1551" s="23" t="s">
        <v>44</v>
      </c>
      <c r="V1551" s="23" t="s">
        <v>59</v>
      </c>
      <c r="W1551" s="22">
        <v>10</v>
      </c>
      <c r="X1551" s="35" t="str">
        <f>HYPERLINK("https://www.alpinabook.ru/catalog/book-devushka-s-dengami","ссылка на книгу")</f>
        <v>ссылка на книгу</v>
      </c>
      <c r="Y1551" s="36" t="str">
        <f>HYPERLINK("https://api-enni.alpina.ru/FilePrivilegesApproval/125","https://api-enni.alpina.ru/FilePrivilegesApproval/125")</f>
        <v>https://api-enni.alpina.ru/FilePrivilegesApproval/125</v>
      </c>
      <c r="Z1551" s="23"/>
      <c r="AT1551" s="1">
        <f t="shared" si="278"/>
        <v>0</v>
      </c>
      <c r="AU1551" s="1">
        <f t="shared" si="279"/>
        <v>0</v>
      </c>
      <c r="AV1551" s="1">
        <f t="shared" si="280"/>
        <v>0</v>
      </c>
      <c r="AW1551" s="1">
        <f t="shared" si="281"/>
        <v>0</v>
      </c>
      <c r="AX1551" s="1">
        <f t="shared" si="282"/>
        <v>0</v>
      </c>
    </row>
    <row r="1552" spans="1:50" s="1" customFormat="1" ht="24.95" customHeight="1" outlineLevel="3" x14ac:dyDescent="0.2">
      <c r="A1552" s="21"/>
      <c r="B1552" s="25">
        <v>3190</v>
      </c>
      <c r="C1552" s="25">
        <v>3790</v>
      </c>
      <c r="D1552" s="22">
        <v>1039</v>
      </c>
      <c r="E1552" s="23" t="s">
        <v>5045</v>
      </c>
      <c r="F1552" s="23" t="s">
        <v>5046</v>
      </c>
      <c r="G1552" s="23" t="s">
        <v>56</v>
      </c>
      <c r="H1552" s="23" t="s">
        <v>40</v>
      </c>
      <c r="I1552" s="22">
        <v>2025</v>
      </c>
      <c r="J1552" s="23" t="s">
        <v>5047</v>
      </c>
      <c r="K1552" s="22">
        <v>9785961466508</v>
      </c>
      <c r="L1552" s="23" t="s">
        <v>5048</v>
      </c>
      <c r="M1552" s="25">
        <v>1320</v>
      </c>
      <c r="N1552" s="24">
        <v>1.78</v>
      </c>
      <c r="O1552" s="22">
        <v>170</v>
      </c>
      <c r="P1552" s="22">
        <v>240</v>
      </c>
      <c r="Q1552" s="22">
        <v>2</v>
      </c>
      <c r="R1552" s="23" t="s">
        <v>94</v>
      </c>
      <c r="S1552" s="23"/>
      <c r="T1552" s="25">
        <v>1500</v>
      </c>
      <c r="U1552" s="23" t="s">
        <v>52</v>
      </c>
      <c r="V1552" s="23" t="s">
        <v>64</v>
      </c>
      <c r="W1552" s="22">
        <v>10</v>
      </c>
      <c r="X1552" s="35" t="str">
        <f>HYPERLINK("https://www.alpinabook.ru/catalog/book-investitsionnaya-otsenka","ссылка на книгу")</f>
        <v>ссылка на книгу</v>
      </c>
      <c r="Y1552" s="36" t="str">
        <f>HYPERLINK("https://api-enni.alpina.ru/FilePrivilegesApproval/2","https://api-enni.alpina.ru/FilePrivilegesApproval/2")</f>
        <v>https://api-enni.alpina.ru/FilePrivilegesApproval/2</v>
      </c>
      <c r="Z1552" s="23" t="s">
        <v>865</v>
      </c>
      <c r="AT1552" s="1">
        <f t="shared" si="278"/>
        <v>0</v>
      </c>
      <c r="AU1552" s="1">
        <f t="shared" si="279"/>
        <v>0</v>
      </c>
      <c r="AV1552" s="1">
        <f t="shared" si="280"/>
        <v>0</v>
      </c>
      <c r="AW1552" s="1">
        <f t="shared" si="281"/>
        <v>0</v>
      </c>
      <c r="AX1552" s="1">
        <f t="shared" si="282"/>
        <v>0</v>
      </c>
    </row>
    <row r="1553" spans="1:50" s="1" customFormat="1" ht="24.95" customHeight="1" outlineLevel="3" x14ac:dyDescent="0.2">
      <c r="A1553" s="21"/>
      <c r="B1553" s="22">
        <v>690</v>
      </c>
      <c r="C1553" s="22">
        <v>990</v>
      </c>
      <c r="D1553" s="22">
        <v>28201</v>
      </c>
      <c r="E1553" s="23" t="s">
        <v>5049</v>
      </c>
      <c r="F1553" s="23" t="s">
        <v>5050</v>
      </c>
      <c r="G1553" s="23" t="s">
        <v>56</v>
      </c>
      <c r="H1553" s="23"/>
      <c r="I1553" s="22">
        <v>2025</v>
      </c>
      <c r="J1553" s="23" t="s">
        <v>5051</v>
      </c>
      <c r="K1553" s="22">
        <v>9785961487664</v>
      </c>
      <c r="L1553" s="23" t="s">
        <v>5052</v>
      </c>
      <c r="M1553" s="22">
        <v>488</v>
      </c>
      <c r="N1553" s="24">
        <v>0.67</v>
      </c>
      <c r="O1553" s="22">
        <v>150</v>
      </c>
      <c r="P1553" s="22">
        <v>220</v>
      </c>
      <c r="Q1553" s="22">
        <v>8</v>
      </c>
      <c r="R1553" s="23" t="s">
        <v>43</v>
      </c>
      <c r="S1553" s="23"/>
      <c r="T1553" s="25">
        <v>2000</v>
      </c>
      <c r="U1553" s="23" t="s">
        <v>52</v>
      </c>
      <c r="V1553" s="23" t="s">
        <v>45</v>
      </c>
      <c r="W1553" s="22">
        <v>10</v>
      </c>
      <c r="X1553" s="35" t="str">
        <f>HYPERLINK("https://www.alpinabook.ru/catalog/book-investor-za-vykhodnye-2-izdanie","ссылка на книгу")</f>
        <v>ссылка на книгу</v>
      </c>
      <c r="Y1553" s="36" t="str">
        <f>HYPERLINK("https://api-enni.alpina.ru/FilePrivilegesApproval/238","https://api-enni.alpina.ru/FilePrivilegesApproval/238")</f>
        <v>https://api-enni.alpina.ru/FilePrivilegesApproval/238</v>
      </c>
      <c r="Z1553" s="23"/>
      <c r="AT1553" s="1">
        <f t="shared" si="278"/>
        <v>0</v>
      </c>
      <c r="AU1553" s="1">
        <f t="shared" si="279"/>
        <v>0</v>
      </c>
      <c r="AV1553" s="1">
        <f t="shared" si="280"/>
        <v>0</v>
      </c>
      <c r="AW1553" s="1">
        <f t="shared" si="281"/>
        <v>0</v>
      </c>
      <c r="AX1553" s="1">
        <f t="shared" si="282"/>
        <v>0</v>
      </c>
    </row>
    <row r="1554" spans="1:50" s="1" customFormat="1" ht="24.95" customHeight="1" outlineLevel="3" x14ac:dyDescent="0.2">
      <c r="A1554" s="21"/>
      <c r="B1554" s="22">
        <v>790</v>
      </c>
      <c r="C1554" s="25">
        <v>1190</v>
      </c>
      <c r="D1554" s="22">
        <v>24084</v>
      </c>
      <c r="E1554" s="23" t="s">
        <v>5053</v>
      </c>
      <c r="F1554" s="23" t="s">
        <v>5054</v>
      </c>
      <c r="G1554" s="23" t="s">
        <v>97</v>
      </c>
      <c r="H1554" s="23" t="s">
        <v>40</v>
      </c>
      <c r="I1554" s="22">
        <v>2022</v>
      </c>
      <c r="J1554" s="23" t="s">
        <v>5055</v>
      </c>
      <c r="K1554" s="22">
        <v>9785907470705</v>
      </c>
      <c r="L1554" s="23" t="s">
        <v>5056</v>
      </c>
      <c r="M1554" s="22">
        <v>456</v>
      </c>
      <c r="N1554" s="24">
        <v>0.66</v>
      </c>
      <c r="O1554" s="22">
        <v>146</v>
      </c>
      <c r="P1554" s="22">
        <v>216</v>
      </c>
      <c r="Q1554" s="22">
        <v>10</v>
      </c>
      <c r="R1554" s="23" t="s">
        <v>43</v>
      </c>
      <c r="S1554" s="23"/>
      <c r="T1554" s="25">
        <v>1500</v>
      </c>
      <c r="U1554" s="23" t="s">
        <v>52</v>
      </c>
      <c r="V1554" s="23" t="s">
        <v>59</v>
      </c>
      <c r="W1554" s="22">
        <v>10</v>
      </c>
      <c r="X1554" s="35" t="str">
        <f>HYPERLINK("https://www.alpinabook.ru/catalog/book-istoriya-investitsionnykh-strategiy","ссылка на книгу")</f>
        <v>ссылка на книгу</v>
      </c>
      <c r="Y1554" s="36" t="str">
        <f>HYPERLINK("https://api-enni.alpina.ru/FilePrivilegesApproval/142","https://api-enni.alpina.ru/FilePrivilegesApproval/142")</f>
        <v>https://api-enni.alpina.ru/FilePrivilegesApproval/142</v>
      </c>
      <c r="Z1554" s="23"/>
      <c r="AT1554" s="1">
        <f t="shared" si="278"/>
        <v>0</v>
      </c>
      <c r="AU1554" s="1">
        <f t="shared" si="279"/>
        <v>0</v>
      </c>
      <c r="AV1554" s="1">
        <f t="shared" si="280"/>
        <v>0</v>
      </c>
      <c r="AW1554" s="1">
        <f t="shared" si="281"/>
        <v>0</v>
      </c>
      <c r="AX1554" s="1">
        <f t="shared" si="282"/>
        <v>0</v>
      </c>
    </row>
    <row r="1555" spans="1:50" s="1" customFormat="1" ht="24.95" customHeight="1" outlineLevel="3" x14ac:dyDescent="0.2">
      <c r="A1555" s="21"/>
      <c r="B1555" s="25">
        <v>1390</v>
      </c>
      <c r="C1555" s="25">
        <v>1790</v>
      </c>
      <c r="D1555" s="22">
        <v>2960</v>
      </c>
      <c r="E1555" s="23" t="s">
        <v>691</v>
      </c>
      <c r="F1555" s="23" t="s">
        <v>692</v>
      </c>
      <c r="G1555" s="23" t="s">
        <v>56</v>
      </c>
      <c r="H1555" s="23" t="s">
        <v>40</v>
      </c>
      <c r="I1555" s="22">
        <v>2024</v>
      </c>
      <c r="J1555" s="23" t="s">
        <v>693</v>
      </c>
      <c r="K1555" s="22">
        <v>9785961465440</v>
      </c>
      <c r="L1555" s="23" t="s">
        <v>694</v>
      </c>
      <c r="M1555" s="22">
        <v>576</v>
      </c>
      <c r="N1555" s="24">
        <v>0.86</v>
      </c>
      <c r="O1555" s="22">
        <v>170</v>
      </c>
      <c r="P1555" s="22">
        <v>240</v>
      </c>
      <c r="Q1555" s="22">
        <v>5</v>
      </c>
      <c r="R1555" s="23" t="s">
        <v>94</v>
      </c>
      <c r="S1555" s="23"/>
      <c r="T1555" s="25">
        <v>5000</v>
      </c>
      <c r="U1555" s="23" t="s">
        <v>52</v>
      </c>
      <c r="V1555" s="23" t="s">
        <v>64</v>
      </c>
      <c r="W1555" s="22">
        <v>10</v>
      </c>
      <c r="X1555" s="35" t="str">
        <f>HYPERLINK("https://www.alpinabook.ru/catalog/book-razumnyy-investor","ссылка на книгу")</f>
        <v>ссылка на книгу</v>
      </c>
      <c r="Y1555" s="36" t="str">
        <f>HYPERLINK("https://api-enni.alpina.ru/FilePrivilegesApproval/2","https://api-enni.alpina.ru/FilePrivilegesApproval/2")</f>
        <v>https://api-enni.alpina.ru/FilePrivilegesApproval/2</v>
      </c>
      <c r="Z1555" s="23"/>
      <c r="AT1555" s="1">
        <f t="shared" si="278"/>
        <v>0</v>
      </c>
      <c r="AU1555" s="1">
        <f t="shared" si="279"/>
        <v>0</v>
      </c>
      <c r="AV1555" s="1">
        <f t="shared" si="280"/>
        <v>0</v>
      </c>
      <c r="AW1555" s="1">
        <f t="shared" si="281"/>
        <v>0</v>
      </c>
      <c r="AX1555" s="1">
        <f t="shared" si="282"/>
        <v>0</v>
      </c>
    </row>
    <row r="1556" spans="1:50" s="1" customFormat="1" ht="24.95" customHeight="1" outlineLevel="3" x14ac:dyDescent="0.2">
      <c r="A1556" s="21"/>
      <c r="B1556" s="25">
        <v>1390</v>
      </c>
      <c r="C1556" s="25">
        <v>1790</v>
      </c>
      <c r="D1556" s="22">
        <v>32874</v>
      </c>
      <c r="E1556" s="23" t="s">
        <v>691</v>
      </c>
      <c r="F1556" s="23" t="s">
        <v>692</v>
      </c>
      <c r="G1556" s="23" t="s">
        <v>56</v>
      </c>
      <c r="H1556" s="23" t="s">
        <v>40</v>
      </c>
      <c r="I1556" s="22">
        <v>2025</v>
      </c>
      <c r="J1556" s="23" t="s">
        <v>5057</v>
      </c>
      <c r="K1556" s="22">
        <v>9785006304833</v>
      </c>
      <c r="L1556" s="23" t="s">
        <v>5058</v>
      </c>
      <c r="M1556" s="22">
        <v>576</v>
      </c>
      <c r="N1556" s="24">
        <v>0.85</v>
      </c>
      <c r="O1556" s="22">
        <v>170</v>
      </c>
      <c r="P1556" s="22">
        <v>240</v>
      </c>
      <c r="Q1556" s="22">
        <v>5</v>
      </c>
      <c r="R1556" s="23" t="s">
        <v>94</v>
      </c>
      <c r="S1556" s="23"/>
      <c r="T1556" s="25">
        <v>6000</v>
      </c>
      <c r="U1556" s="23" t="s">
        <v>52</v>
      </c>
      <c r="V1556" s="23" t="s">
        <v>64</v>
      </c>
      <c r="W1556" s="22">
        <v>10</v>
      </c>
      <c r="X1556" s="35" t="str">
        <f>HYPERLINK("https://www.alpinabook.ru/catalog/book-razumnyy-investor","ссылка на книгу")</f>
        <v>ссылка на книгу</v>
      </c>
      <c r="Y1556" s="36" t="str">
        <f>HYPERLINK("https://api-enni.alpina.ru/FilePrivilegesApproval/2","https://api-enni.alpina.ru/FilePrivilegesApproval/2")</f>
        <v>https://api-enni.alpina.ru/FilePrivilegesApproval/2</v>
      </c>
      <c r="Z1556" s="23" t="s">
        <v>1406</v>
      </c>
      <c r="AT1556" s="1">
        <f t="shared" si="278"/>
        <v>0</v>
      </c>
      <c r="AU1556" s="1">
        <f t="shared" si="279"/>
        <v>0</v>
      </c>
      <c r="AV1556" s="1">
        <f t="shared" si="280"/>
        <v>0</v>
      </c>
      <c r="AW1556" s="1">
        <f t="shared" si="281"/>
        <v>0</v>
      </c>
      <c r="AX1556" s="1">
        <f t="shared" si="282"/>
        <v>0</v>
      </c>
    </row>
    <row r="1557" spans="1:50" s="1" customFormat="1" ht="24.95" customHeight="1" outlineLevel="3" x14ac:dyDescent="0.2">
      <c r="A1557" s="21"/>
      <c r="B1557" s="22">
        <v>930</v>
      </c>
      <c r="C1557" s="25">
        <v>1390</v>
      </c>
      <c r="D1557" s="22">
        <v>22901</v>
      </c>
      <c r="E1557" s="23" t="s">
        <v>5033</v>
      </c>
      <c r="F1557" s="23" t="s">
        <v>5059</v>
      </c>
      <c r="G1557" s="23" t="s">
        <v>97</v>
      </c>
      <c r="H1557" s="23" t="s">
        <v>40</v>
      </c>
      <c r="I1557" s="22">
        <v>2023</v>
      </c>
      <c r="J1557" s="23" t="s">
        <v>5060</v>
      </c>
      <c r="K1557" s="22">
        <v>9785907470743</v>
      </c>
      <c r="L1557" s="23" t="s">
        <v>5061</v>
      </c>
      <c r="M1557" s="22">
        <v>414</v>
      </c>
      <c r="N1557" s="24">
        <v>0.72</v>
      </c>
      <c r="O1557" s="22">
        <v>180</v>
      </c>
      <c r="P1557" s="22">
        <v>230</v>
      </c>
      <c r="Q1557" s="22">
        <v>4</v>
      </c>
      <c r="R1557" s="23" t="s">
        <v>100</v>
      </c>
      <c r="S1557" s="23"/>
      <c r="T1557" s="25">
        <v>1000</v>
      </c>
      <c r="U1557" s="23" t="s">
        <v>52</v>
      </c>
      <c r="V1557" s="23" t="s">
        <v>59</v>
      </c>
      <c r="W1557" s="22">
        <v>10</v>
      </c>
      <c r="X1557" s="35" t="str">
        <f>HYPERLINK("https://www.alpinabook.ru/catalog/book-tainstvennye-magi-rynka","ссылка на книгу")</f>
        <v>ссылка на книгу</v>
      </c>
      <c r="Y1557" s="36" t="str">
        <f>HYPERLINK("https://api-enni.alpina.ru/FilePrivilegesApproval/139","https://api-enni.alpina.ru/FilePrivilegesApproval/139")</f>
        <v>https://api-enni.alpina.ru/FilePrivilegesApproval/139</v>
      </c>
      <c r="Z1557" s="23"/>
      <c r="AT1557" s="1">
        <f t="shared" si="278"/>
        <v>0</v>
      </c>
      <c r="AU1557" s="1">
        <f t="shared" si="279"/>
        <v>0</v>
      </c>
      <c r="AV1557" s="1">
        <f t="shared" si="280"/>
        <v>0</v>
      </c>
      <c r="AW1557" s="1">
        <f t="shared" si="281"/>
        <v>0</v>
      </c>
      <c r="AX1557" s="1">
        <f t="shared" si="282"/>
        <v>0</v>
      </c>
    </row>
    <row r="1558" spans="1:50" s="1" customFormat="1" ht="24.95" customHeight="1" outlineLevel="3" x14ac:dyDescent="0.2">
      <c r="A1558" s="21"/>
      <c r="B1558" s="25">
        <v>1990</v>
      </c>
      <c r="C1558" s="25">
        <v>2490</v>
      </c>
      <c r="D1558" s="22">
        <v>919</v>
      </c>
      <c r="E1558" s="23" t="s">
        <v>5033</v>
      </c>
      <c r="F1558" s="23" t="s">
        <v>5062</v>
      </c>
      <c r="G1558" s="23" t="s">
        <v>56</v>
      </c>
      <c r="H1558" s="23" t="s">
        <v>40</v>
      </c>
      <c r="I1558" s="22">
        <v>2024</v>
      </c>
      <c r="J1558" s="23" t="s">
        <v>5063</v>
      </c>
      <c r="K1558" s="22">
        <v>9785961467826</v>
      </c>
      <c r="L1558" s="23" t="s">
        <v>5064</v>
      </c>
      <c r="M1558" s="22">
        <v>808</v>
      </c>
      <c r="N1558" s="24">
        <v>1.19</v>
      </c>
      <c r="O1558" s="22">
        <v>170</v>
      </c>
      <c r="P1558" s="22">
        <v>240</v>
      </c>
      <c r="Q1558" s="22">
        <v>4</v>
      </c>
      <c r="R1558" s="23" t="s">
        <v>94</v>
      </c>
      <c r="S1558" s="23"/>
      <c r="T1558" s="25">
        <v>6000</v>
      </c>
      <c r="U1558" s="23" t="s">
        <v>52</v>
      </c>
      <c r="V1558" s="23" t="s">
        <v>64</v>
      </c>
      <c r="W1558" s="22">
        <v>10</v>
      </c>
      <c r="X1558" s="35" t="str">
        <f>HYPERLINK("https://www.alpinabook.ru/catalog/book-tekhnicheskiy-analiz-pro","ссылка на книгу")</f>
        <v>ссылка на книгу</v>
      </c>
      <c r="Y1558" s="36" t="str">
        <f>HYPERLINK("https://api-enni.alpina.ru/FilePrivilegesApproval/2","https://api-enni.alpina.ru/FilePrivilegesApproval/2")</f>
        <v>https://api-enni.alpina.ru/FilePrivilegesApproval/2</v>
      </c>
      <c r="Z1558" s="23"/>
      <c r="AT1558" s="1">
        <f t="shared" si="278"/>
        <v>0</v>
      </c>
      <c r="AU1558" s="1">
        <f t="shared" si="279"/>
        <v>0</v>
      </c>
      <c r="AV1558" s="1">
        <f t="shared" si="280"/>
        <v>0</v>
      </c>
      <c r="AW1558" s="1">
        <f t="shared" si="281"/>
        <v>0</v>
      </c>
      <c r="AX1558" s="1">
        <f t="shared" si="282"/>
        <v>0</v>
      </c>
    </row>
    <row r="1559" spans="1:50" s="1" customFormat="1" ht="24.95" customHeight="1" outlineLevel="3" x14ac:dyDescent="0.2">
      <c r="A1559" s="21"/>
      <c r="B1559" s="25">
        <v>1290</v>
      </c>
      <c r="C1559" s="25">
        <v>1790</v>
      </c>
      <c r="D1559" s="22">
        <v>7658</v>
      </c>
      <c r="E1559" s="23" t="s">
        <v>5065</v>
      </c>
      <c r="F1559" s="23" t="s">
        <v>5066</v>
      </c>
      <c r="G1559" s="23" t="s">
        <v>97</v>
      </c>
      <c r="H1559" s="23" t="s">
        <v>40</v>
      </c>
      <c r="I1559" s="22">
        <v>2023</v>
      </c>
      <c r="J1559" s="23" t="s">
        <v>5067</v>
      </c>
      <c r="K1559" s="22">
        <v>9785604288207</v>
      </c>
      <c r="L1559" s="23" t="s">
        <v>5068</v>
      </c>
      <c r="M1559" s="22">
        <v>290</v>
      </c>
      <c r="N1559" s="24">
        <v>0.61</v>
      </c>
      <c r="O1559" s="22">
        <v>170</v>
      </c>
      <c r="P1559" s="22">
        <v>240</v>
      </c>
      <c r="Q1559" s="22">
        <v>8</v>
      </c>
      <c r="R1559" s="23" t="s">
        <v>94</v>
      </c>
      <c r="S1559" s="23"/>
      <c r="T1559" s="25">
        <v>8000</v>
      </c>
      <c r="U1559" s="23" t="s">
        <v>52</v>
      </c>
      <c r="V1559" s="23" t="s">
        <v>64</v>
      </c>
      <c r="W1559" s="22">
        <v>10</v>
      </c>
      <c r="X1559" s="35" t="str">
        <f>HYPERLINK("https://www.alpinabook.ru/catalog/book-yaponskie-svechi-graficheskiy-analiz","ссылка на книгу")</f>
        <v>ссылка на книгу</v>
      </c>
      <c r="Y1559" s="36" t="str">
        <f>HYPERLINK("https://api-enni.alpina.ru/FilePrivilegesApproval/120","https://api-enni.alpina.ru/FilePrivilegesApproval/120")</f>
        <v>https://api-enni.alpina.ru/FilePrivilegesApproval/120</v>
      </c>
      <c r="Z1559" s="23" t="s">
        <v>4062</v>
      </c>
      <c r="AT1559" s="1">
        <f t="shared" si="278"/>
        <v>0</v>
      </c>
      <c r="AU1559" s="1">
        <f t="shared" si="279"/>
        <v>0</v>
      </c>
      <c r="AV1559" s="1">
        <f t="shared" si="280"/>
        <v>0</v>
      </c>
      <c r="AW1559" s="1">
        <f t="shared" si="281"/>
        <v>0</v>
      </c>
      <c r="AX1559" s="1">
        <f t="shared" si="282"/>
        <v>0</v>
      </c>
    </row>
    <row r="1560" spans="1:50" ht="11.1" customHeight="1" outlineLevel="2" x14ac:dyDescent="0.2">
      <c r="A1560" s="40" t="s">
        <v>5069</v>
      </c>
      <c r="B1560" s="40"/>
      <c r="C1560" s="40"/>
      <c r="D1560" s="40"/>
      <c r="E1560" s="40"/>
      <c r="F1560" s="40"/>
      <c r="G1560" s="40"/>
      <c r="H1560" s="40"/>
      <c r="I1560" s="40"/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20"/>
    </row>
    <row r="1561" spans="1:50" s="1" customFormat="1" ht="24.95" customHeight="1" outlineLevel="3" x14ac:dyDescent="0.2">
      <c r="A1561" s="11"/>
      <c r="B1561" s="15">
        <v>1050</v>
      </c>
      <c r="C1561" s="15">
        <v>1050</v>
      </c>
      <c r="D1561" s="12">
        <v>6882</v>
      </c>
      <c r="E1561" s="13" t="s">
        <v>2899</v>
      </c>
      <c r="F1561" s="13" t="s">
        <v>5070</v>
      </c>
      <c r="G1561" s="13" t="s">
        <v>97</v>
      </c>
      <c r="H1561" s="13"/>
      <c r="I1561" s="12">
        <v>2017</v>
      </c>
      <c r="J1561" s="13" t="s">
        <v>5071</v>
      </c>
      <c r="K1561" s="12">
        <v>9785961463606</v>
      </c>
      <c r="L1561" s="13" t="s">
        <v>5072</v>
      </c>
      <c r="M1561" s="12">
        <v>240</v>
      </c>
      <c r="N1561" s="14">
        <v>0.75</v>
      </c>
      <c r="O1561" s="12">
        <v>168</v>
      </c>
      <c r="P1561" s="12">
        <v>241</v>
      </c>
      <c r="Q1561" s="12">
        <v>7</v>
      </c>
      <c r="R1561" s="13" t="s">
        <v>94</v>
      </c>
      <c r="S1561" s="13"/>
      <c r="T1561" s="15">
        <v>2000</v>
      </c>
      <c r="U1561" s="13" t="s">
        <v>52</v>
      </c>
      <c r="V1561" s="13" t="s">
        <v>64</v>
      </c>
      <c r="W1561" s="12">
        <v>10</v>
      </c>
      <c r="X1561" s="33" t="str">
        <f>HYPERLINK("https://www.alpinabook.ru/catalog/book-344199","ссылка на книгу")</f>
        <v>ссылка на книгу</v>
      </c>
      <c r="Y1561" s="34" t="str">
        <f>HYPERLINK("https://api-enni.alpina.ru/FilePrivilegesApproval/2","https://api-enni.alpina.ru/FilePrivilegesApproval/2")</f>
        <v>https://api-enni.alpina.ru/FilePrivilegesApproval/2</v>
      </c>
      <c r="Z1561" s="13"/>
      <c r="AT1561" s="1">
        <f t="shared" ref="AT1561:AT1571" si="283">IF($A1561&lt;&gt;0,1,0)</f>
        <v>0</v>
      </c>
      <c r="AU1561" s="1">
        <f t="shared" ref="AU1561:AU1571" si="284">$A1561*$B1561</f>
        <v>0</v>
      </c>
      <c r="AV1561" s="1">
        <f t="shared" ref="AV1561:AV1571" si="285">$A1561*$N1561</f>
        <v>0</v>
      </c>
      <c r="AW1561" s="1">
        <f t="shared" ref="AW1561:AW1571" si="286">IF($Q1561=0,0,INT($A1561/$Q1561))</f>
        <v>0</v>
      </c>
      <c r="AX1561" s="1">
        <f t="shared" ref="AX1561:AX1571" si="287">$A1561-$AW1561*$Q1561</f>
        <v>0</v>
      </c>
    </row>
    <row r="1562" spans="1:50" s="1" customFormat="1" ht="24.95" customHeight="1" outlineLevel="3" x14ac:dyDescent="0.2">
      <c r="A1562" s="11"/>
      <c r="B1562" s="15">
        <v>1390</v>
      </c>
      <c r="C1562" s="15">
        <v>1790</v>
      </c>
      <c r="D1562" s="12">
        <v>19469</v>
      </c>
      <c r="E1562" s="13" t="s">
        <v>5073</v>
      </c>
      <c r="F1562" s="13" t="s">
        <v>5074</v>
      </c>
      <c r="G1562" s="13" t="s">
        <v>56</v>
      </c>
      <c r="H1562" s="13"/>
      <c r="I1562" s="12">
        <v>2024</v>
      </c>
      <c r="J1562" s="13" t="s">
        <v>5075</v>
      </c>
      <c r="K1562" s="12">
        <v>9785961462111</v>
      </c>
      <c r="L1562" s="13" t="s">
        <v>5076</v>
      </c>
      <c r="M1562" s="12">
        <v>548</v>
      </c>
      <c r="N1562" s="14">
        <v>0.94</v>
      </c>
      <c r="O1562" s="12">
        <v>168</v>
      </c>
      <c r="P1562" s="12">
        <v>241</v>
      </c>
      <c r="Q1562" s="12">
        <v>4</v>
      </c>
      <c r="R1562" s="13" t="s">
        <v>94</v>
      </c>
      <c r="S1562" s="13"/>
      <c r="T1562" s="15">
        <v>1000</v>
      </c>
      <c r="U1562" s="13" t="s">
        <v>52</v>
      </c>
      <c r="V1562" s="13" t="s">
        <v>64</v>
      </c>
      <c r="W1562" s="12">
        <v>10</v>
      </c>
      <c r="X1562" s="33" t="str">
        <f>HYPERLINK("https://www.alpinabook.ru/catalog/book-analiticheskaya-fabrika","ссылка на книгу")</f>
        <v>ссылка на книгу</v>
      </c>
      <c r="Y1562" s="34" t="str">
        <f>HYPERLINK("https://api-enni.alpina.ru/FilePrivilegesApproval/102","https://api-enni.alpina.ru/FilePrivilegesApproval/102")</f>
        <v>https://api-enni.alpina.ru/FilePrivilegesApproval/102</v>
      </c>
      <c r="Z1562" s="13"/>
      <c r="AT1562" s="1">
        <f t="shared" si="283"/>
        <v>0</v>
      </c>
      <c r="AU1562" s="1">
        <f t="shared" si="284"/>
        <v>0</v>
      </c>
      <c r="AV1562" s="1">
        <f t="shared" si="285"/>
        <v>0</v>
      </c>
      <c r="AW1562" s="1">
        <f t="shared" si="286"/>
        <v>0</v>
      </c>
      <c r="AX1562" s="1">
        <f t="shared" si="287"/>
        <v>0</v>
      </c>
    </row>
    <row r="1563" spans="1:50" s="1" customFormat="1" ht="24.95" customHeight="1" outlineLevel="3" x14ac:dyDescent="0.2">
      <c r="A1563" s="11"/>
      <c r="B1563" s="12">
        <v>990</v>
      </c>
      <c r="C1563" s="15">
        <v>1390</v>
      </c>
      <c r="D1563" s="12">
        <v>26099</v>
      </c>
      <c r="E1563" s="13" t="s">
        <v>5077</v>
      </c>
      <c r="F1563" s="13" t="s">
        <v>5078</v>
      </c>
      <c r="G1563" s="13" t="s">
        <v>56</v>
      </c>
      <c r="H1563" s="13"/>
      <c r="I1563" s="12">
        <v>2025</v>
      </c>
      <c r="J1563" s="13" t="s">
        <v>5079</v>
      </c>
      <c r="K1563" s="12">
        <v>9785961480467</v>
      </c>
      <c r="L1563" s="13" t="s">
        <v>5080</v>
      </c>
      <c r="M1563" s="12">
        <v>588</v>
      </c>
      <c r="N1563" s="14">
        <v>0.9</v>
      </c>
      <c r="O1563" s="12">
        <v>170</v>
      </c>
      <c r="P1563" s="12">
        <v>240</v>
      </c>
      <c r="Q1563" s="12">
        <v>4</v>
      </c>
      <c r="R1563" s="13" t="s">
        <v>94</v>
      </c>
      <c r="S1563" s="13"/>
      <c r="T1563" s="15">
        <v>1000</v>
      </c>
      <c r="U1563" s="13" t="s">
        <v>44</v>
      </c>
      <c r="V1563" s="13" t="s">
        <v>59</v>
      </c>
      <c r="W1563" s="12">
        <v>10</v>
      </c>
      <c r="X1563" s="33" t="str">
        <f>HYPERLINK("https://www.alpinabook.ru/catalog/book-blokcheyn-dlya-vsekh","ссылка на книгу")</f>
        <v>ссылка на книгу</v>
      </c>
      <c r="Y1563" s="34" t="str">
        <f>HYPERLINK("https://api-enni.alpina.ru/FilePrivilegesApproval/172","https://api-enni.alpina.ru/FilePrivilegesApproval/172")</f>
        <v>https://api-enni.alpina.ru/FilePrivilegesApproval/172</v>
      </c>
      <c r="Z1563" s="13" t="s">
        <v>282</v>
      </c>
      <c r="AT1563" s="1">
        <f t="shared" si="283"/>
        <v>0</v>
      </c>
      <c r="AU1563" s="1">
        <f t="shared" si="284"/>
        <v>0</v>
      </c>
      <c r="AV1563" s="1">
        <f t="shared" si="285"/>
        <v>0</v>
      </c>
      <c r="AW1563" s="1">
        <f t="shared" si="286"/>
        <v>0</v>
      </c>
      <c r="AX1563" s="1">
        <f t="shared" si="287"/>
        <v>0</v>
      </c>
    </row>
    <row r="1564" spans="1:50" s="1" customFormat="1" ht="24.95" customHeight="1" outlineLevel="3" x14ac:dyDescent="0.2">
      <c r="A1564" s="11"/>
      <c r="B1564" s="12">
        <v>890</v>
      </c>
      <c r="C1564" s="15">
        <v>1290</v>
      </c>
      <c r="D1564" s="12">
        <v>25339</v>
      </c>
      <c r="E1564" s="13" t="s">
        <v>5081</v>
      </c>
      <c r="F1564" s="13" t="s">
        <v>5082</v>
      </c>
      <c r="G1564" s="13" t="s">
        <v>56</v>
      </c>
      <c r="H1564" s="13"/>
      <c r="I1564" s="12">
        <v>2023</v>
      </c>
      <c r="J1564" s="13" t="s">
        <v>5083</v>
      </c>
      <c r="K1564" s="12">
        <v>9785961477559</v>
      </c>
      <c r="L1564" s="13" t="s">
        <v>5084</v>
      </c>
      <c r="M1564" s="12">
        <v>324</v>
      </c>
      <c r="N1564" s="14">
        <v>0.48</v>
      </c>
      <c r="O1564" s="12">
        <v>146</v>
      </c>
      <c r="P1564" s="12">
        <v>216</v>
      </c>
      <c r="Q1564" s="12">
        <v>12</v>
      </c>
      <c r="R1564" s="13" t="s">
        <v>43</v>
      </c>
      <c r="S1564" s="13"/>
      <c r="T1564" s="15">
        <v>2000</v>
      </c>
      <c r="U1564" s="13" t="s">
        <v>52</v>
      </c>
      <c r="V1564" s="13" t="s">
        <v>45</v>
      </c>
      <c r="W1564" s="12">
        <v>10</v>
      </c>
      <c r="X1564" s="33" t="str">
        <f>HYPERLINK("https://www.alpinabook.ru/catalog/book-glavnyy-po-finansam","ссылка на книгу")</f>
        <v>ссылка на книгу</v>
      </c>
      <c r="Y1564" s="34" t="str">
        <f>HYPERLINK("https://api-enni.alpina.ru/FilePrivilegesApproval/163","https://api-enni.alpina.ru/FilePrivilegesApproval/163")</f>
        <v>https://api-enni.alpina.ru/FilePrivilegesApproval/163</v>
      </c>
      <c r="Z1564" s="13"/>
      <c r="AT1564" s="1">
        <f t="shared" si="283"/>
        <v>0</v>
      </c>
      <c r="AU1564" s="1">
        <f t="shared" si="284"/>
        <v>0</v>
      </c>
      <c r="AV1564" s="1">
        <f t="shared" si="285"/>
        <v>0</v>
      </c>
      <c r="AW1564" s="1">
        <f t="shared" si="286"/>
        <v>0</v>
      </c>
      <c r="AX1564" s="1">
        <f t="shared" si="287"/>
        <v>0</v>
      </c>
    </row>
    <row r="1565" spans="1:50" s="1" customFormat="1" ht="24.95" customHeight="1" outlineLevel="3" x14ac:dyDescent="0.2">
      <c r="A1565" s="11"/>
      <c r="B1565" s="15">
        <v>1690</v>
      </c>
      <c r="C1565" s="15">
        <v>2190</v>
      </c>
      <c r="D1565" s="12">
        <v>4704</v>
      </c>
      <c r="E1565" s="13" t="s">
        <v>584</v>
      </c>
      <c r="F1565" s="13" t="s">
        <v>585</v>
      </c>
      <c r="G1565" s="13" t="s">
        <v>56</v>
      </c>
      <c r="H1565" s="13"/>
      <c r="I1565" s="12">
        <v>2025</v>
      </c>
      <c r="J1565" s="13" t="s">
        <v>586</v>
      </c>
      <c r="K1565" s="12">
        <v>9785961471380</v>
      </c>
      <c r="L1565" s="13" t="s">
        <v>587</v>
      </c>
      <c r="M1565" s="12">
        <v>478</v>
      </c>
      <c r="N1565" s="14">
        <v>0.85</v>
      </c>
      <c r="O1565" s="12">
        <v>171</v>
      </c>
      <c r="P1565" s="12">
        <v>241</v>
      </c>
      <c r="Q1565" s="12">
        <v>5</v>
      </c>
      <c r="R1565" s="13" t="s">
        <v>94</v>
      </c>
      <c r="S1565" s="13"/>
      <c r="T1565" s="15">
        <v>1000</v>
      </c>
      <c r="U1565" s="13" t="s">
        <v>52</v>
      </c>
      <c r="V1565" s="13" t="s">
        <v>64</v>
      </c>
      <c r="W1565" s="12">
        <v>10</v>
      </c>
      <c r="X1565" s="33" t="str">
        <f>HYPERLINK("https://www.alpinabook.ru/catalog/book-nastolnaya-kniga-po-vnutrennemu-auditu","ссылка на книгу")</f>
        <v>ссылка на книгу</v>
      </c>
      <c r="Y1565" s="34" t="str">
        <f>HYPERLINK("https://api-enni.alpina.ru/FilePrivilegesApproval/2","https://api-enni.alpina.ru/FilePrivilegesApproval/2")</f>
        <v>https://api-enni.alpina.ru/FilePrivilegesApproval/2</v>
      </c>
      <c r="Z1565" s="13" t="s">
        <v>118</v>
      </c>
      <c r="AT1565" s="1">
        <f t="shared" si="283"/>
        <v>0</v>
      </c>
      <c r="AU1565" s="1">
        <f t="shared" si="284"/>
        <v>0</v>
      </c>
      <c r="AV1565" s="1">
        <f t="shared" si="285"/>
        <v>0</v>
      </c>
      <c r="AW1565" s="1">
        <f t="shared" si="286"/>
        <v>0</v>
      </c>
      <c r="AX1565" s="1">
        <f t="shared" si="287"/>
        <v>0</v>
      </c>
    </row>
    <row r="1566" spans="1:50" s="1" customFormat="1" ht="24.95" customHeight="1" outlineLevel="3" x14ac:dyDescent="0.2">
      <c r="A1566" s="11"/>
      <c r="B1566" s="12">
        <v>790</v>
      </c>
      <c r="C1566" s="12">
        <v>790</v>
      </c>
      <c r="D1566" s="12">
        <v>22912</v>
      </c>
      <c r="E1566" s="13" t="s">
        <v>5085</v>
      </c>
      <c r="F1566" s="13" t="s">
        <v>5086</v>
      </c>
      <c r="G1566" s="13" t="s">
        <v>97</v>
      </c>
      <c r="H1566" s="13" t="s">
        <v>40</v>
      </c>
      <c r="I1566" s="12">
        <v>2022</v>
      </c>
      <c r="J1566" s="13" t="s">
        <v>5087</v>
      </c>
      <c r="K1566" s="12">
        <v>9785907534049</v>
      </c>
      <c r="L1566" s="13" t="s">
        <v>5088</v>
      </c>
      <c r="M1566" s="12">
        <v>269</v>
      </c>
      <c r="N1566" s="14">
        <v>0.55000000000000004</v>
      </c>
      <c r="O1566" s="12">
        <v>171</v>
      </c>
      <c r="P1566" s="12">
        <v>241</v>
      </c>
      <c r="Q1566" s="12">
        <v>14</v>
      </c>
      <c r="R1566" s="13" t="s">
        <v>94</v>
      </c>
      <c r="S1566" s="13"/>
      <c r="T1566" s="15">
        <v>1000</v>
      </c>
      <c r="U1566" s="13" t="s">
        <v>52</v>
      </c>
      <c r="V1566" s="13" t="s">
        <v>59</v>
      </c>
      <c r="W1566" s="12">
        <v>10</v>
      </c>
      <c r="X1566" s="33" t="str">
        <f>HYPERLINK("https://www.alpinabook.ru/catalog/book-poveliteli-venchurnogo-kapitala","ссылка на книгу")</f>
        <v>ссылка на книгу</v>
      </c>
      <c r="Y1566" s="34" t="str">
        <f>HYPERLINK("https://api-enni.alpina.ru/FilePrivilegesApproval/155","https://api-enni.alpina.ru/FilePrivilegesApproval/155")</f>
        <v>https://api-enni.alpina.ru/FilePrivilegesApproval/155</v>
      </c>
      <c r="Z1566" s="13"/>
      <c r="AT1566" s="1">
        <f t="shared" si="283"/>
        <v>0</v>
      </c>
      <c r="AU1566" s="1">
        <f t="shared" si="284"/>
        <v>0</v>
      </c>
      <c r="AV1566" s="1">
        <f t="shared" si="285"/>
        <v>0</v>
      </c>
      <c r="AW1566" s="1">
        <f t="shared" si="286"/>
        <v>0</v>
      </c>
      <c r="AX1566" s="1">
        <f t="shared" si="287"/>
        <v>0</v>
      </c>
    </row>
    <row r="1567" spans="1:50" s="1" customFormat="1" ht="21.95" customHeight="1" outlineLevel="3" x14ac:dyDescent="0.2">
      <c r="A1567" s="11"/>
      <c r="B1567" s="12">
        <v>580</v>
      </c>
      <c r="C1567" s="12">
        <v>580</v>
      </c>
      <c r="D1567" s="12">
        <v>8198</v>
      </c>
      <c r="E1567" s="13" t="s">
        <v>5089</v>
      </c>
      <c r="F1567" s="13" t="s">
        <v>5090</v>
      </c>
      <c r="G1567" s="13" t="s">
        <v>97</v>
      </c>
      <c r="H1567" s="13"/>
      <c r="I1567" s="12">
        <v>2018</v>
      </c>
      <c r="J1567" s="13" t="s">
        <v>5091</v>
      </c>
      <c r="K1567" s="12">
        <v>9785961421804</v>
      </c>
      <c r="L1567" s="13" t="s">
        <v>5092</v>
      </c>
      <c r="M1567" s="12">
        <v>240</v>
      </c>
      <c r="N1567" s="14">
        <v>0.47</v>
      </c>
      <c r="O1567" s="12">
        <v>146</v>
      </c>
      <c r="P1567" s="12">
        <v>216</v>
      </c>
      <c r="Q1567" s="12">
        <v>12</v>
      </c>
      <c r="R1567" s="13" t="s">
        <v>43</v>
      </c>
      <c r="S1567" s="13"/>
      <c r="T1567" s="15">
        <v>3000</v>
      </c>
      <c r="U1567" s="13" t="s">
        <v>52</v>
      </c>
      <c r="V1567" s="13" t="s">
        <v>64</v>
      </c>
      <c r="W1567" s="12">
        <v>10</v>
      </c>
      <c r="X1567" s="33" t="str">
        <f>HYPERLINK("https://www.alpinabook.ru/catalog/book-520869","ссылка на книгу")</f>
        <v>ссылка на книгу</v>
      </c>
      <c r="Y1567" s="34" t="str">
        <f>HYPERLINK("","")</f>
        <v/>
      </c>
      <c r="Z1567" s="13"/>
      <c r="AT1567" s="1">
        <f t="shared" si="283"/>
        <v>0</v>
      </c>
      <c r="AU1567" s="1">
        <f t="shared" si="284"/>
        <v>0</v>
      </c>
      <c r="AV1567" s="1">
        <f t="shared" si="285"/>
        <v>0</v>
      </c>
      <c r="AW1567" s="1">
        <f t="shared" si="286"/>
        <v>0</v>
      </c>
      <c r="AX1567" s="1">
        <f t="shared" si="287"/>
        <v>0</v>
      </c>
    </row>
    <row r="1568" spans="1:50" s="1" customFormat="1" ht="24.95" customHeight="1" outlineLevel="3" x14ac:dyDescent="0.2">
      <c r="A1568" s="11"/>
      <c r="B1568" s="15">
        <v>1090</v>
      </c>
      <c r="C1568" s="15">
        <v>1590</v>
      </c>
      <c r="D1568" s="12">
        <v>1729</v>
      </c>
      <c r="E1568" s="13" t="s">
        <v>794</v>
      </c>
      <c r="F1568" s="13" t="s">
        <v>5093</v>
      </c>
      <c r="G1568" s="13" t="s">
        <v>56</v>
      </c>
      <c r="H1568" s="13"/>
      <c r="I1568" s="12">
        <v>2025</v>
      </c>
      <c r="J1568" s="13" t="s">
        <v>5094</v>
      </c>
      <c r="K1568" s="12">
        <v>9785961467581</v>
      </c>
      <c r="L1568" s="13" t="s">
        <v>5095</v>
      </c>
      <c r="M1568" s="12">
        <v>432</v>
      </c>
      <c r="N1568" s="14">
        <v>0.8</v>
      </c>
      <c r="O1568" s="12">
        <v>170</v>
      </c>
      <c r="P1568" s="12">
        <v>240</v>
      </c>
      <c r="Q1568" s="12">
        <v>5</v>
      </c>
      <c r="R1568" s="13" t="s">
        <v>94</v>
      </c>
      <c r="S1568" s="13"/>
      <c r="T1568" s="15">
        <v>2000</v>
      </c>
      <c r="U1568" s="13" t="s">
        <v>52</v>
      </c>
      <c r="V1568" s="13" t="s">
        <v>64</v>
      </c>
      <c r="W1568" s="12">
        <v>10</v>
      </c>
      <c r="X1568" s="33" t="str">
        <f>HYPERLINK("https://www.alpinabook.ru/catalog/book-finansovaya-otchetnost","ссылка на книгу")</f>
        <v>ссылка на книгу</v>
      </c>
      <c r="Y1568" s="34" t="str">
        <f>HYPERLINK("https://api-enni.alpina.ru/FilePrivilegesApproval/152","https://api-enni.alpina.ru/FilePrivilegesApproval/152")</f>
        <v>https://api-enni.alpina.ru/FilePrivilegesApproval/152</v>
      </c>
      <c r="Z1568" s="13" t="s">
        <v>321</v>
      </c>
      <c r="AT1568" s="1">
        <f t="shared" si="283"/>
        <v>0</v>
      </c>
      <c r="AU1568" s="1">
        <f t="shared" si="284"/>
        <v>0</v>
      </c>
      <c r="AV1568" s="1">
        <f t="shared" si="285"/>
        <v>0</v>
      </c>
      <c r="AW1568" s="1">
        <f t="shared" si="286"/>
        <v>0</v>
      </c>
      <c r="AX1568" s="1">
        <f t="shared" si="287"/>
        <v>0</v>
      </c>
    </row>
    <row r="1569" spans="1:50" s="1" customFormat="1" ht="24.95" customHeight="1" outlineLevel="3" x14ac:dyDescent="0.2">
      <c r="A1569" s="11"/>
      <c r="B1569" s="15">
        <v>1190</v>
      </c>
      <c r="C1569" s="15">
        <v>1690</v>
      </c>
      <c r="D1569" s="12">
        <v>4855</v>
      </c>
      <c r="E1569" s="13" t="s">
        <v>794</v>
      </c>
      <c r="F1569" s="13" t="s">
        <v>795</v>
      </c>
      <c r="G1569" s="13" t="s">
        <v>56</v>
      </c>
      <c r="H1569" s="13"/>
      <c r="I1569" s="12">
        <v>2025</v>
      </c>
      <c r="J1569" s="13" t="s">
        <v>796</v>
      </c>
      <c r="K1569" s="12">
        <v>9785961470543</v>
      </c>
      <c r="L1569" s="13" t="s">
        <v>797</v>
      </c>
      <c r="M1569" s="12">
        <v>482</v>
      </c>
      <c r="N1569" s="14">
        <v>0.84</v>
      </c>
      <c r="O1569" s="12">
        <v>168</v>
      </c>
      <c r="P1569" s="12">
        <v>241</v>
      </c>
      <c r="Q1569" s="12">
        <v>5</v>
      </c>
      <c r="R1569" s="13" t="s">
        <v>94</v>
      </c>
      <c r="S1569" s="13"/>
      <c r="T1569" s="15">
        <v>1000</v>
      </c>
      <c r="U1569" s="13" t="s">
        <v>52</v>
      </c>
      <c r="V1569" s="13" t="s">
        <v>64</v>
      </c>
      <c r="W1569" s="12">
        <v>10</v>
      </c>
      <c r="X1569" s="33" t="str">
        <f>HYPERLINK("https://www.alpinabook.ru/catalog/book-finansovyy-menedzhment-eto-prosto","ссылка на книгу")</f>
        <v>ссылка на книгу</v>
      </c>
      <c r="Y1569" s="34" t="str">
        <f>HYPERLINK("https://api-enni.alpina.ru/FilePrivilegesApproval/2","https://api-enni.alpina.ru/FilePrivilegesApproval/2")</f>
        <v>https://api-enni.alpina.ru/FilePrivilegesApproval/2</v>
      </c>
      <c r="Z1569" s="13" t="s">
        <v>77</v>
      </c>
      <c r="AT1569" s="1">
        <f t="shared" si="283"/>
        <v>0</v>
      </c>
      <c r="AU1569" s="1">
        <f t="shared" si="284"/>
        <v>0</v>
      </c>
      <c r="AV1569" s="1">
        <f t="shared" si="285"/>
        <v>0</v>
      </c>
      <c r="AW1569" s="1">
        <f t="shared" si="286"/>
        <v>0</v>
      </c>
      <c r="AX1569" s="1">
        <f t="shared" si="287"/>
        <v>0</v>
      </c>
    </row>
    <row r="1570" spans="1:50" s="1" customFormat="1" ht="24.95" customHeight="1" outlineLevel="3" x14ac:dyDescent="0.2">
      <c r="A1570" s="11"/>
      <c r="B1570" s="15">
        <v>1490</v>
      </c>
      <c r="C1570" s="15">
        <v>1890</v>
      </c>
      <c r="D1570" s="12">
        <v>17880</v>
      </c>
      <c r="E1570" s="13" t="s">
        <v>794</v>
      </c>
      <c r="F1570" s="13" t="s">
        <v>5096</v>
      </c>
      <c r="G1570" s="13" t="s">
        <v>56</v>
      </c>
      <c r="H1570" s="13"/>
      <c r="I1570" s="12">
        <v>2025</v>
      </c>
      <c r="J1570" s="13" t="s">
        <v>5097</v>
      </c>
      <c r="K1570" s="12">
        <v>9785961437164</v>
      </c>
      <c r="L1570" s="13" t="s">
        <v>5098</v>
      </c>
      <c r="M1570" s="15">
        <v>1012</v>
      </c>
      <c r="N1570" s="14">
        <v>1.41</v>
      </c>
      <c r="O1570" s="12">
        <v>170</v>
      </c>
      <c r="P1570" s="12">
        <v>240</v>
      </c>
      <c r="Q1570" s="12">
        <v>3</v>
      </c>
      <c r="R1570" s="13" t="s">
        <v>94</v>
      </c>
      <c r="S1570" s="13"/>
      <c r="T1570" s="15">
        <v>1500</v>
      </c>
      <c r="U1570" s="13" t="s">
        <v>52</v>
      </c>
      <c r="V1570" s="13" t="s">
        <v>59</v>
      </c>
      <c r="W1570" s="12">
        <v>10</v>
      </c>
      <c r="X1570" s="33" t="str">
        <f>HYPERLINK("https://www.alpinabook.ru/catalog/book-finansovyy-menedzhment-dlya-praktikov","ссылка на книгу")</f>
        <v>ссылка на книгу</v>
      </c>
      <c r="Y1570" s="34" t="str">
        <f>HYPERLINK("https://api-enni.alpina.ru/FilePrivilegesApproval/119","https://api-enni.alpina.ru/FilePrivilegesApproval/119")</f>
        <v>https://api-enni.alpina.ru/FilePrivilegesApproval/119</v>
      </c>
      <c r="Z1570" s="13" t="s">
        <v>295</v>
      </c>
      <c r="AT1570" s="1">
        <f t="shared" si="283"/>
        <v>0</v>
      </c>
      <c r="AU1570" s="1">
        <f t="shared" si="284"/>
        <v>0</v>
      </c>
      <c r="AV1570" s="1">
        <f t="shared" si="285"/>
        <v>0</v>
      </c>
      <c r="AW1570" s="1">
        <f t="shared" si="286"/>
        <v>0</v>
      </c>
      <c r="AX1570" s="1">
        <f t="shared" si="287"/>
        <v>0</v>
      </c>
    </row>
    <row r="1571" spans="1:50" s="1" customFormat="1" ht="24.95" customHeight="1" outlineLevel="3" x14ac:dyDescent="0.2">
      <c r="A1571" s="11"/>
      <c r="B1571" s="15">
        <v>1490</v>
      </c>
      <c r="C1571" s="15">
        <v>1890</v>
      </c>
      <c r="D1571" s="12">
        <v>5799</v>
      </c>
      <c r="E1571" s="13" t="s">
        <v>5099</v>
      </c>
      <c r="F1571" s="13" t="s">
        <v>5100</v>
      </c>
      <c r="G1571" s="13" t="s">
        <v>56</v>
      </c>
      <c r="H1571" s="13" t="s">
        <v>40</v>
      </c>
      <c r="I1571" s="12">
        <v>2024</v>
      </c>
      <c r="J1571" s="13" t="s">
        <v>5101</v>
      </c>
      <c r="K1571" s="12">
        <v>9785961469394</v>
      </c>
      <c r="L1571" s="13" t="s">
        <v>5102</v>
      </c>
      <c r="M1571" s="12">
        <v>648</v>
      </c>
      <c r="N1571" s="14">
        <v>1.1000000000000001</v>
      </c>
      <c r="O1571" s="12">
        <v>168</v>
      </c>
      <c r="P1571" s="12">
        <v>241</v>
      </c>
      <c r="Q1571" s="12">
        <v>6</v>
      </c>
      <c r="R1571" s="13" t="s">
        <v>94</v>
      </c>
      <c r="S1571" s="13"/>
      <c r="T1571" s="15">
        <v>1500</v>
      </c>
      <c r="U1571" s="13" t="s">
        <v>52</v>
      </c>
      <c r="V1571" s="13" t="s">
        <v>64</v>
      </c>
      <c r="W1571" s="12">
        <v>10</v>
      </c>
      <c r="X1571" s="33" t="str">
        <f>HYPERLINK("https://www.alpinabook.ru/catalog/book-finansovyy-menedzhment-i-upravlencheskiy-uchet-dlya-rukovoditeley-i-biznesmenov","ссылка на книгу")</f>
        <v>ссылка на книгу</v>
      </c>
      <c r="Y1571" s="34" t="str">
        <f>HYPERLINK("https://api-enni.alpina.ru/FilePrivilegesApproval/141","https://api-enni.alpina.ru/FilePrivilegesApproval/141")</f>
        <v>https://api-enni.alpina.ru/FilePrivilegesApproval/141</v>
      </c>
      <c r="Z1571" s="13"/>
      <c r="AT1571" s="1">
        <f t="shared" si="283"/>
        <v>0</v>
      </c>
      <c r="AU1571" s="1">
        <f t="shared" si="284"/>
        <v>0</v>
      </c>
      <c r="AV1571" s="1">
        <f t="shared" si="285"/>
        <v>0</v>
      </c>
      <c r="AW1571" s="1">
        <f t="shared" si="286"/>
        <v>0</v>
      </c>
      <c r="AX1571" s="1">
        <f t="shared" si="287"/>
        <v>0</v>
      </c>
    </row>
    <row r="1572" spans="1:50" ht="11.1" customHeight="1" outlineLevel="2" x14ac:dyDescent="0.2">
      <c r="A1572" s="40" t="s">
        <v>5103</v>
      </c>
      <c r="B1572" s="40"/>
      <c r="C1572" s="40"/>
      <c r="D1572" s="40"/>
      <c r="E1572" s="40"/>
      <c r="F1572" s="40"/>
      <c r="G1572" s="40"/>
      <c r="H1572" s="40"/>
      <c r="I1572" s="40"/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20"/>
    </row>
    <row r="1573" spans="1:50" s="1" customFormat="1" ht="24.95" customHeight="1" outlineLevel="3" x14ac:dyDescent="0.2">
      <c r="A1573" s="11"/>
      <c r="B1573" s="12">
        <v>990</v>
      </c>
      <c r="C1573" s="12">
        <v>990</v>
      </c>
      <c r="D1573" s="12">
        <v>25684</v>
      </c>
      <c r="E1573" s="13" t="s">
        <v>5104</v>
      </c>
      <c r="F1573" s="13" t="s">
        <v>5105</v>
      </c>
      <c r="G1573" s="13" t="s">
        <v>97</v>
      </c>
      <c r="H1573" s="13" t="s">
        <v>40</v>
      </c>
      <c r="I1573" s="12">
        <v>2022</v>
      </c>
      <c r="J1573" s="13" t="s">
        <v>5106</v>
      </c>
      <c r="K1573" s="12">
        <v>9785206000535</v>
      </c>
      <c r="L1573" s="13" t="s">
        <v>5107</v>
      </c>
      <c r="M1573" s="12">
        <v>231</v>
      </c>
      <c r="N1573" s="14">
        <v>0.5</v>
      </c>
      <c r="O1573" s="12">
        <v>168</v>
      </c>
      <c r="P1573" s="12">
        <v>241</v>
      </c>
      <c r="Q1573" s="12">
        <v>8</v>
      </c>
      <c r="R1573" s="13" t="s">
        <v>94</v>
      </c>
      <c r="S1573" s="13"/>
      <c r="T1573" s="15">
        <v>1500</v>
      </c>
      <c r="U1573" s="13" t="s">
        <v>52</v>
      </c>
      <c r="V1573" s="13" t="s">
        <v>59</v>
      </c>
      <c r="W1573" s="12">
        <v>10</v>
      </c>
      <c r="X1573" s="33" t="str">
        <f>HYPERLINK("https://www.alpinabook.ru/catalog/book-actio","ссылка на книгу")</f>
        <v>ссылка на книгу</v>
      </c>
      <c r="Y1573" s="34" t="str">
        <f>HYPERLINK("https://api-enni.alpina.ru/FilePrivilegesApproval/167","https://api-enni.alpina.ru/FilePrivilegesApproval/167")</f>
        <v>https://api-enni.alpina.ru/FilePrivilegesApproval/167</v>
      </c>
      <c r="Z1573" s="13"/>
      <c r="AT1573" s="1">
        <f t="shared" ref="AT1573:AT1604" si="288">IF($A1573&lt;&gt;0,1,0)</f>
        <v>0</v>
      </c>
      <c r="AU1573" s="1">
        <f t="shared" ref="AU1573:AU1604" si="289">$A1573*$B1573</f>
        <v>0</v>
      </c>
      <c r="AV1573" s="1">
        <f t="shared" ref="AV1573:AV1604" si="290">$A1573*$N1573</f>
        <v>0</v>
      </c>
      <c r="AW1573" s="1">
        <f t="shared" ref="AW1573:AW1604" si="291">IF($Q1573=0,0,INT($A1573/$Q1573))</f>
        <v>0</v>
      </c>
      <c r="AX1573" s="1">
        <f t="shared" ref="AX1573:AX1604" si="292">$A1573-$AW1573*$Q1573</f>
        <v>0</v>
      </c>
    </row>
    <row r="1574" spans="1:50" s="1" customFormat="1" ht="24.95" customHeight="1" outlineLevel="3" x14ac:dyDescent="0.2">
      <c r="A1574" s="11"/>
      <c r="B1574" s="12">
        <v>790</v>
      </c>
      <c r="C1574" s="15">
        <v>1190</v>
      </c>
      <c r="D1574" s="12">
        <v>7340</v>
      </c>
      <c r="E1574" s="13" t="s">
        <v>5108</v>
      </c>
      <c r="F1574" s="13" t="s">
        <v>5109</v>
      </c>
      <c r="G1574" s="13" t="s">
        <v>97</v>
      </c>
      <c r="H1574" s="13" t="s">
        <v>40</v>
      </c>
      <c r="I1574" s="12">
        <v>2024</v>
      </c>
      <c r="J1574" s="13" t="s">
        <v>5110</v>
      </c>
      <c r="K1574" s="12">
        <v>9785907394056</v>
      </c>
      <c r="L1574" s="13" t="s">
        <v>5111</v>
      </c>
      <c r="M1574" s="12">
        <v>348</v>
      </c>
      <c r="N1574" s="14">
        <v>0.53</v>
      </c>
      <c r="O1574" s="12">
        <v>146</v>
      </c>
      <c r="P1574" s="12">
        <v>216</v>
      </c>
      <c r="Q1574" s="12">
        <v>5</v>
      </c>
      <c r="R1574" s="13" t="s">
        <v>43</v>
      </c>
      <c r="S1574" s="13"/>
      <c r="T1574" s="15">
        <v>1000</v>
      </c>
      <c r="U1574" s="13" t="s">
        <v>52</v>
      </c>
      <c r="V1574" s="13" t="s">
        <v>64</v>
      </c>
      <c r="W1574" s="12">
        <v>10</v>
      </c>
      <c r="X1574" s="33" t="str">
        <f>HYPERLINK("https://www.alpinabook.ru/catalog/book-flash-boys","ссылка на книгу")</f>
        <v>ссылка на книгу</v>
      </c>
      <c r="Y1574" s="34" t="str">
        <f>HYPERLINK("https://api-enni.alpina.ru/FilePrivilegesApproval/2","https://api-enni.alpina.ru/FilePrivilegesApproval/2")</f>
        <v>https://api-enni.alpina.ru/FilePrivilegesApproval/2</v>
      </c>
      <c r="Z1574" s="13"/>
      <c r="AT1574" s="1">
        <f t="shared" si="288"/>
        <v>0</v>
      </c>
      <c r="AU1574" s="1">
        <f t="shared" si="289"/>
        <v>0</v>
      </c>
      <c r="AV1574" s="1">
        <f t="shared" si="290"/>
        <v>0</v>
      </c>
      <c r="AW1574" s="1">
        <f t="shared" si="291"/>
        <v>0</v>
      </c>
      <c r="AX1574" s="1">
        <f t="shared" si="292"/>
        <v>0</v>
      </c>
    </row>
    <row r="1575" spans="1:50" s="1" customFormat="1" ht="24.95" customHeight="1" outlineLevel="3" x14ac:dyDescent="0.2">
      <c r="A1575" s="11"/>
      <c r="B1575" s="12">
        <v>700</v>
      </c>
      <c r="C1575" s="12">
        <v>990</v>
      </c>
      <c r="D1575" s="12">
        <v>5018</v>
      </c>
      <c r="E1575" s="13" t="s">
        <v>5112</v>
      </c>
      <c r="F1575" s="13" t="s">
        <v>5113</v>
      </c>
      <c r="G1575" s="13" t="s">
        <v>97</v>
      </c>
      <c r="H1575" s="13"/>
      <c r="I1575" s="12">
        <v>2025</v>
      </c>
      <c r="J1575" s="13" t="s">
        <v>5114</v>
      </c>
      <c r="K1575" s="12">
        <v>9785907394728</v>
      </c>
      <c r="L1575" s="13" t="s">
        <v>5115</v>
      </c>
      <c r="M1575" s="12">
        <v>328</v>
      </c>
      <c r="N1575" s="14">
        <v>0.64</v>
      </c>
      <c r="O1575" s="12">
        <v>168</v>
      </c>
      <c r="P1575" s="12">
        <v>241</v>
      </c>
      <c r="Q1575" s="12">
        <v>5</v>
      </c>
      <c r="R1575" s="13" t="s">
        <v>94</v>
      </c>
      <c r="S1575" s="13"/>
      <c r="T1575" s="15">
        <v>1000</v>
      </c>
      <c r="U1575" s="13" t="s">
        <v>52</v>
      </c>
      <c r="V1575" s="13" t="s">
        <v>64</v>
      </c>
      <c r="W1575" s="12">
        <v>10</v>
      </c>
      <c r="X1575" s="33" t="str">
        <f>HYPERLINK("https://www.alpinabook.ru/catalog/book-forex","ссылка на книгу")</f>
        <v>ссылка на книгу</v>
      </c>
      <c r="Y1575" s="34" t="str">
        <f>HYPERLINK("https://api-enni.alpina.ru/FilePrivilegesApproval/2","https://api-enni.alpina.ru/FilePrivilegesApproval/2")</f>
        <v>https://api-enni.alpina.ru/FilePrivilegesApproval/2</v>
      </c>
      <c r="Z1575" s="13" t="s">
        <v>954</v>
      </c>
      <c r="AT1575" s="1">
        <f t="shared" si="288"/>
        <v>0</v>
      </c>
      <c r="AU1575" s="1">
        <f t="shared" si="289"/>
        <v>0</v>
      </c>
      <c r="AV1575" s="1">
        <f t="shared" si="290"/>
        <v>0</v>
      </c>
      <c r="AW1575" s="1">
        <f t="shared" si="291"/>
        <v>0</v>
      </c>
      <c r="AX1575" s="1">
        <f t="shared" si="292"/>
        <v>0</v>
      </c>
    </row>
    <row r="1576" spans="1:50" s="1" customFormat="1" ht="24.95" customHeight="1" outlineLevel="3" x14ac:dyDescent="0.2">
      <c r="A1576" s="11"/>
      <c r="B1576" s="12">
        <v>450</v>
      </c>
      <c r="C1576" s="12">
        <v>450</v>
      </c>
      <c r="D1576" s="12">
        <v>9117</v>
      </c>
      <c r="E1576" s="13" t="s">
        <v>5116</v>
      </c>
      <c r="F1576" s="13" t="s">
        <v>5117</v>
      </c>
      <c r="G1576" s="13" t="s">
        <v>97</v>
      </c>
      <c r="H1576" s="13"/>
      <c r="I1576" s="12">
        <v>2019</v>
      </c>
      <c r="J1576" s="13" t="s">
        <v>5118</v>
      </c>
      <c r="K1576" s="12">
        <v>9785604231975</v>
      </c>
      <c r="L1576" s="13" t="s">
        <v>5119</v>
      </c>
      <c r="M1576" s="12">
        <v>158</v>
      </c>
      <c r="N1576" s="14">
        <v>0.41</v>
      </c>
      <c r="O1576" s="12">
        <v>168</v>
      </c>
      <c r="P1576" s="12">
        <v>221</v>
      </c>
      <c r="Q1576" s="12">
        <v>10</v>
      </c>
      <c r="R1576" s="13" t="s">
        <v>100</v>
      </c>
      <c r="S1576" s="13"/>
      <c r="T1576" s="15">
        <v>2000</v>
      </c>
      <c r="U1576" s="13" t="s">
        <v>52</v>
      </c>
      <c r="V1576" s="13" t="s">
        <v>59</v>
      </c>
      <c r="W1576" s="12">
        <v>10</v>
      </c>
      <c r="X1576" s="33" t="str">
        <f>HYPERLINK("https://www.alpinabook.ru/catalog/book-547871","ссылка на книгу")</f>
        <v>ссылка на книгу</v>
      </c>
      <c r="Y1576" s="34" t="str">
        <f>HYPERLINK("","")</f>
        <v/>
      </c>
      <c r="Z1576" s="13"/>
      <c r="AT1576" s="1">
        <f t="shared" si="288"/>
        <v>0</v>
      </c>
      <c r="AU1576" s="1">
        <f t="shared" si="289"/>
        <v>0</v>
      </c>
      <c r="AV1576" s="1">
        <f t="shared" si="290"/>
        <v>0</v>
      </c>
      <c r="AW1576" s="1">
        <f t="shared" si="291"/>
        <v>0</v>
      </c>
      <c r="AX1576" s="1">
        <f t="shared" si="292"/>
        <v>0</v>
      </c>
    </row>
    <row r="1577" spans="1:50" s="1" customFormat="1" ht="24.95" customHeight="1" outlineLevel="3" x14ac:dyDescent="0.2">
      <c r="A1577" s="11"/>
      <c r="B1577" s="15">
        <v>1490</v>
      </c>
      <c r="C1577" s="15">
        <v>1890</v>
      </c>
      <c r="D1577" s="12">
        <v>32011</v>
      </c>
      <c r="E1577" s="13" t="s">
        <v>5120</v>
      </c>
      <c r="F1577" s="13" t="s">
        <v>5121</v>
      </c>
      <c r="G1577" s="13" t="s">
        <v>97</v>
      </c>
      <c r="H1577" s="13" t="s">
        <v>40</v>
      </c>
      <c r="I1577" s="12">
        <v>2025</v>
      </c>
      <c r="J1577" s="13" t="s">
        <v>5122</v>
      </c>
      <c r="K1577" s="12">
        <v>9785206003970</v>
      </c>
      <c r="L1577" s="13" t="s">
        <v>5123</v>
      </c>
      <c r="M1577" s="12">
        <v>525</v>
      </c>
      <c r="N1577" s="14">
        <v>0.95</v>
      </c>
      <c r="O1577" s="12">
        <v>170</v>
      </c>
      <c r="P1577" s="12">
        <v>240</v>
      </c>
      <c r="Q1577" s="12">
        <v>3</v>
      </c>
      <c r="R1577" s="13" t="s">
        <v>94</v>
      </c>
      <c r="S1577" s="13"/>
      <c r="T1577" s="15">
        <v>2000</v>
      </c>
      <c r="U1577" s="13" t="s">
        <v>52</v>
      </c>
      <c r="V1577" s="13" t="s">
        <v>45</v>
      </c>
      <c r="W1577" s="12">
        <v>10</v>
      </c>
      <c r="X1577" s="33" t="str">
        <f>HYPERLINK("https://www.alpinabook.ru/catalog/book-alfa-treyder","ссылка на книгу")</f>
        <v>ссылка на книгу</v>
      </c>
      <c r="Y1577" s="34" t="str">
        <f>HYPERLINK("https://api-enni.alpina.ru/FilePrivilegesApproval/735","https://api-enni.alpina.ru/FilePrivilegesApproval/735")</f>
        <v>https://api-enni.alpina.ru/FilePrivilegesApproval/735</v>
      </c>
      <c r="Z1577" s="13"/>
      <c r="AT1577" s="1">
        <f t="shared" si="288"/>
        <v>0</v>
      </c>
      <c r="AU1577" s="1">
        <f t="shared" si="289"/>
        <v>0</v>
      </c>
      <c r="AV1577" s="1">
        <f t="shared" si="290"/>
        <v>0</v>
      </c>
      <c r="AW1577" s="1">
        <f t="shared" si="291"/>
        <v>0</v>
      </c>
      <c r="AX1577" s="1">
        <f t="shared" si="292"/>
        <v>0</v>
      </c>
    </row>
    <row r="1578" spans="1:50" s="1" customFormat="1" ht="24.95" customHeight="1" outlineLevel="3" x14ac:dyDescent="0.2">
      <c r="A1578" s="26"/>
      <c r="B1578" s="27">
        <v>890</v>
      </c>
      <c r="C1578" s="28">
        <v>1290</v>
      </c>
      <c r="D1578" s="27">
        <v>7036</v>
      </c>
      <c r="E1578" s="29" t="s">
        <v>2899</v>
      </c>
      <c r="F1578" s="29" t="s">
        <v>5124</v>
      </c>
      <c r="G1578" s="29" t="s">
        <v>97</v>
      </c>
      <c r="H1578" s="29" t="s">
        <v>40</v>
      </c>
      <c r="I1578" s="27">
        <v>2024</v>
      </c>
      <c r="J1578" s="29" t="s">
        <v>5125</v>
      </c>
      <c r="K1578" s="27">
        <v>9785961469646</v>
      </c>
      <c r="L1578" s="29" t="s">
        <v>5126</v>
      </c>
      <c r="M1578" s="27">
        <v>318</v>
      </c>
      <c r="N1578" s="30">
        <v>0.65</v>
      </c>
      <c r="O1578" s="27">
        <v>168</v>
      </c>
      <c r="P1578" s="27">
        <v>241</v>
      </c>
      <c r="Q1578" s="27">
        <v>6</v>
      </c>
      <c r="R1578" s="29" t="s">
        <v>94</v>
      </c>
      <c r="S1578" s="29"/>
      <c r="T1578" s="28">
        <v>1000</v>
      </c>
      <c r="U1578" s="29" t="s">
        <v>52</v>
      </c>
      <c r="V1578" s="29" t="s">
        <v>64</v>
      </c>
      <c r="W1578" s="27">
        <v>10</v>
      </c>
      <c r="X1578" s="37" t="str">
        <f>HYPERLINK("https://www.alpinabook.ru/catalog/book-velikie-investory","ссылка на книгу")</f>
        <v>ссылка на книгу</v>
      </c>
      <c r="Y1578" s="38" t="str">
        <f>HYPERLINK("https://api-enni.alpina.ru/FilePrivilegesApproval/502","https://api-enni.alpina.ru/FilePrivilegesApproval/502")</f>
        <v>https://api-enni.alpina.ru/FilePrivilegesApproval/502</v>
      </c>
      <c r="Z1578" s="29"/>
      <c r="AT1578" s="1">
        <f t="shared" si="288"/>
        <v>0</v>
      </c>
      <c r="AU1578" s="1">
        <f t="shared" si="289"/>
        <v>0</v>
      </c>
      <c r="AV1578" s="1">
        <f t="shared" si="290"/>
        <v>0</v>
      </c>
      <c r="AW1578" s="1">
        <f t="shared" si="291"/>
        <v>0</v>
      </c>
      <c r="AX1578" s="1">
        <f t="shared" si="292"/>
        <v>0</v>
      </c>
    </row>
    <row r="1579" spans="1:50" s="1" customFormat="1" ht="24.95" customHeight="1" outlineLevel="3" x14ac:dyDescent="0.2">
      <c r="A1579" s="11"/>
      <c r="B1579" s="12">
        <v>990</v>
      </c>
      <c r="C1579" s="15">
        <v>1490</v>
      </c>
      <c r="D1579" s="12">
        <v>6523</v>
      </c>
      <c r="E1579" s="13" t="s">
        <v>5127</v>
      </c>
      <c r="F1579" s="13" t="s">
        <v>5128</v>
      </c>
      <c r="G1579" s="13" t="s">
        <v>56</v>
      </c>
      <c r="H1579" s="13" t="s">
        <v>40</v>
      </c>
      <c r="I1579" s="12">
        <v>2024</v>
      </c>
      <c r="J1579" s="13" t="s">
        <v>5129</v>
      </c>
      <c r="K1579" s="12">
        <v>9785961459043</v>
      </c>
      <c r="L1579" s="13" t="s">
        <v>5130</v>
      </c>
      <c r="M1579" s="12">
        <v>326</v>
      </c>
      <c r="N1579" s="14">
        <v>0.65</v>
      </c>
      <c r="O1579" s="12">
        <v>168</v>
      </c>
      <c r="P1579" s="12">
        <v>241</v>
      </c>
      <c r="Q1579" s="12">
        <v>8</v>
      </c>
      <c r="R1579" s="13" t="s">
        <v>94</v>
      </c>
      <c r="S1579" s="13"/>
      <c r="T1579" s="15">
        <v>1500</v>
      </c>
      <c r="U1579" s="13" t="s">
        <v>52</v>
      </c>
      <c r="V1579" s="13" t="s">
        <v>64</v>
      </c>
      <c r="W1579" s="12">
        <v>10</v>
      </c>
      <c r="X1579" s="33" t="str">
        <f>HYPERLINK("https://www.alpinabook.ru/catalog/book-vizualnyy-investor","ссылка на книгу")</f>
        <v>ссылка на книгу</v>
      </c>
      <c r="Y1579" s="34" t="str">
        <f>HYPERLINK("https://api-enni.alpina.ru/FilePrivilegesApproval/2","https://api-enni.alpina.ru/FilePrivilegesApproval/2")</f>
        <v>https://api-enni.alpina.ru/FilePrivilegesApproval/2</v>
      </c>
      <c r="Z1579" s="13"/>
      <c r="AT1579" s="1">
        <f t="shared" si="288"/>
        <v>0</v>
      </c>
      <c r="AU1579" s="1">
        <f t="shared" si="289"/>
        <v>0</v>
      </c>
      <c r="AV1579" s="1">
        <f t="shared" si="290"/>
        <v>0</v>
      </c>
      <c r="AW1579" s="1">
        <f t="shared" si="291"/>
        <v>0</v>
      </c>
      <c r="AX1579" s="1">
        <f t="shared" si="292"/>
        <v>0</v>
      </c>
    </row>
    <row r="1580" spans="1:50" s="1" customFormat="1" ht="24.95" customHeight="1" outlineLevel="3" x14ac:dyDescent="0.2">
      <c r="A1580" s="11"/>
      <c r="B1580" s="12">
        <v>890</v>
      </c>
      <c r="C1580" s="15">
        <v>1290</v>
      </c>
      <c r="D1580" s="12">
        <v>18759</v>
      </c>
      <c r="E1580" s="13" t="s">
        <v>379</v>
      </c>
      <c r="F1580" s="13" t="s">
        <v>380</v>
      </c>
      <c r="G1580" s="13" t="s">
        <v>56</v>
      </c>
      <c r="H1580" s="13" t="s">
        <v>40</v>
      </c>
      <c r="I1580" s="12">
        <v>2025</v>
      </c>
      <c r="J1580" s="13" t="s">
        <v>381</v>
      </c>
      <c r="K1580" s="12">
        <v>9785961440331</v>
      </c>
      <c r="L1580" s="13" t="s">
        <v>382</v>
      </c>
      <c r="M1580" s="12">
        <v>154</v>
      </c>
      <c r="N1580" s="14">
        <v>0.35</v>
      </c>
      <c r="O1580" s="12">
        <v>150</v>
      </c>
      <c r="P1580" s="12">
        <v>220</v>
      </c>
      <c r="Q1580" s="12">
        <v>10</v>
      </c>
      <c r="R1580" s="13" t="s">
        <v>43</v>
      </c>
      <c r="S1580" s="13"/>
      <c r="T1580" s="15">
        <v>1000</v>
      </c>
      <c r="U1580" s="13" t="s">
        <v>52</v>
      </c>
      <c r="V1580" s="13" t="s">
        <v>59</v>
      </c>
      <c r="W1580" s="12">
        <v>10</v>
      </c>
      <c r="X1580" s="33" t="str">
        <f>HYPERLINK("https://www.alpinabook.ru/catalog/book-globalnoe-raspredelenie-aktivov","ссылка на книгу")</f>
        <v>ссылка на книгу</v>
      </c>
      <c r="Y1580" s="34" t="str">
        <f>HYPERLINK("https://api-enni.alpina.ru/FilePrivilegesApproval/152","https://api-enni.alpina.ru/FilePrivilegesApproval/152")</f>
        <v>https://api-enni.alpina.ru/FilePrivilegesApproval/152</v>
      </c>
      <c r="Z1580" s="13" t="s">
        <v>118</v>
      </c>
      <c r="AT1580" s="1">
        <f t="shared" si="288"/>
        <v>0</v>
      </c>
      <c r="AU1580" s="1">
        <f t="shared" si="289"/>
        <v>0</v>
      </c>
      <c r="AV1580" s="1">
        <f t="shared" si="290"/>
        <v>0</v>
      </c>
      <c r="AW1580" s="1">
        <f t="shared" si="291"/>
        <v>0</v>
      </c>
      <c r="AX1580" s="1">
        <f t="shared" si="292"/>
        <v>0</v>
      </c>
    </row>
    <row r="1581" spans="1:50" s="1" customFormat="1" ht="24.95" customHeight="1" outlineLevel="3" x14ac:dyDescent="0.2">
      <c r="A1581" s="26"/>
      <c r="B1581" s="27">
        <v>940</v>
      </c>
      <c r="C1581" s="28">
        <v>1390</v>
      </c>
      <c r="D1581" s="27">
        <v>7037</v>
      </c>
      <c r="E1581" s="29" t="s">
        <v>388</v>
      </c>
      <c r="F1581" s="29" t="s">
        <v>389</v>
      </c>
      <c r="G1581" s="29" t="s">
        <v>97</v>
      </c>
      <c r="H1581" s="29" t="s">
        <v>40</v>
      </c>
      <c r="I1581" s="27">
        <v>2024</v>
      </c>
      <c r="J1581" s="29" t="s">
        <v>390</v>
      </c>
      <c r="K1581" s="27">
        <v>9785961461367</v>
      </c>
      <c r="L1581" s="29" t="s">
        <v>391</v>
      </c>
      <c r="M1581" s="27">
        <v>236</v>
      </c>
      <c r="N1581" s="30">
        <v>0.49</v>
      </c>
      <c r="O1581" s="27">
        <v>171</v>
      </c>
      <c r="P1581" s="27">
        <v>241</v>
      </c>
      <c r="Q1581" s="27">
        <v>10</v>
      </c>
      <c r="R1581" s="29" t="s">
        <v>94</v>
      </c>
      <c r="S1581" s="29"/>
      <c r="T1581" s="28">
        <v>1000</v>
      </c>
      <c r="U1581" s="29" t="s">
        <v>52</v>
      </c>
      <c r="V1581" s="29" t="s">
        <v>64</v>
      </c>
      <c r="W1581" s="27">
        <v>10</v>
      </c>
      <c r="X1581" s="37" t="str">
        <f>HYPERLINK("https://www.alpinabook.ru/catalog/book-deytreyding-na-rynke-forex","ссылка на книгу")</f>
        <v>ссылка на книгу</v>
      </c>
      <c r="Y1581" s="38" t="str">
        <f>HYPERLINK("https://api-enni.alpina.ru/FilePrivilegesApproval/2","https://api-enni.alpina.ru/FilePrivilegesApproval/2")</f>
        <v>https://api-enni.alpina.ru/FilePrivilegesApproval/2</v>
      </c>
      <c r="Z1581" s="29" t="s">
        <v>392</v>
      </c>
      <c r="AT1581" s="1">
        <f t="shared" si="288"/>
        <v>0</v>
      </c>
      <c r="AU1581" s="1">
        <f t="shared" si="289"/>
        <v>0</v>
      </c>
      <c r="AV1581" s="1">
        <f t="shared" si="290"/>
        <v>0</v>
      </c>
      <c r="AW1581" s="1">
        <f t="shared" si="291"/>
        <v>0</v>
      </c>
      <c r="AX1581" s="1">
        <f t="shared" si="292"/>
        <v>0</v>
      </c>
    </row>
    <row r="1582" spans="1:50" s="1" customFormat="1" ht="24.95" customHeight="1" outlineLevel="3" x14ac:dyDescent="0.2">
      <c r="A1582" s="11"/>
      <c r="B1582" s="12">
        <v>540</v>
      </c>
      <c r="C1582" s="12">
        <v>940</v>
      </c>
      <c r="D1582" s="12">
        <v>5068</v>
      </c>
      <c r="E1582" s="13" t="s">
        <v>5131</v>
      </c>
      <c r="F1582" s="13" t="s">
        <v>5132</v>
      </c>
      <c r="G1582" s="13" t="s">
        <v>97</v>
      </c>
      <c r="H1582" s="13" t="s">
        <v>40</v>
      </c>
      <c r="I1582" s="12">
        <v>2024</v>
      </c>
      <c r="J1582" s="13" t="s">
        <v>5133</v>
      </c>
      <c r="K1582" s="12">
        <v>9785961467901</v>
      </c>
      <c r="L1582" s="13" t="s">
        <v>5134</v>
      </c>
      <c r="M1582" s="12">
        <v>170</v>
      </c>
      <c r="N1582" s="14">
        <v>0.33</v>
      </c>
      <c r="O1582" s="12">
        <v>146</v>
      </c>
      <c r="P1582" s="12">
        <v>216</v>
      </c>
      <c r="Q1582" s="12">
        <v>5</v>
      </c>
      <c r="R1582" s="13" t="s">
        <v>43</v>
      </c>
      <c r="S1582" s="13"/>
      <c r="T1582" s="15">
        <v>1000</v>
      </c>
      <c r="U1582" s="13" t="s">
        <v>52</v>
      </c>
      <c r="V1582" s="13" t="s">
        <v>64</v>
      </c>
      <c r="W1582" s="12">
        <v>10</v>
      </c>
      <c r="X1582" s="33" t="str">
        <f>HYPERLINK("https://www.alpinabook.ru/catalog/book-desyat-glavnykh-pravil-dlya-nachinayushchego-investora","ссылка на книгу")</f>
        <v>ссылка на книгу</v>
      </c>
      <c r="Y1582" s="34" t="str">
        <f>HYPERLINK("https://api-enni.alpina.ru/FilePrivilegesApproval/2","https://api-enni.alpina.ru/FilePrivilegesApproval/2")</f>
        <v>https://api-enni.alpina.ru/FilePrivilegesApproval/2</v>
      </c>
      <c r="Z1582" s="13"/>
      <c r="AT1582" s="1">
        <f t="shared" si="288"/>
        <v>0</v>
      </c>
      <c r="AU1582" s="1">
        <f t="shared" si="289"/>
        <v>0</v>
      </c>
      <c r="AV1582" s="1">
        <f t="shared" si="290"/>
        <v>0</v>
      </c>
      <c r="AW1582" s="1">
        <f t="shared" si="291"/>
        <v>0</v>
      </c>
      <c r="AX1582" s="1">
        <f t="shared" si="292"/>
        <v>0</v>
      </c>
    </row>
    <row r="1583" spans="1:50" s="1" customFormat="1" ht="24.95" customHeight="1" outlineLevel="3" x14ac:dyDescent="0.2">
      <c r="A1583" s="11"/>
      <c r="B1583" s="15">
        <v>1300</v>
      </c>
      <c r="C1583" s="15">
        <v>1790</v>
      </c>
      <c r="D1583" s="12">
        <v>24384</v>
      </c>
      <c r="E1583" s="13" t="s">
        <v>5065</v>
      </c>
      <c r="F1583" s="13" t="s">
        <v>5135</v>
      </c>
      <c r="G1583" s="13" t="s">
        <v>97</v>
      </c>
      <c r="H1583" s="13" t="s">
        <v>40</v>
      </c>
      <c r="I1583" s="12">
        <v>2025</v>
      </c>
      <c r="J1583" s="13" t="s">
        <v>5136</v>
      </c>
      <c r="K1583" s="12">
        <v>9785907470736</v>
      </c>
      <c r="L1583" s="13" t="s">
        <v>5137</v>
      </c>
      <c r="M1583" s="12">
        <v>272</v>
      </c>
      <c r="N1583" s="14">
        <v>0.55000000000000004</v>
      </c>
      <c r="O1583" s="12">
        <v>168</v>
      </c>
      <c r="P1583" s="12">
        <v>241</v>
      </c>
      <c r="Q1583" s="12">
        <v>8</v>
      </c>
      <c r="R1583" s="13" t="s">
        <v>94</v>
      </c>
      <c r="S1583" s="13"/>
      <c r="T1583" s="15">
        <v>2000</v>
      </c>
      <c r="U1583" s="13" t="s">
        <v>52</v>
      </c>
      <c r="V1583" s="13" t="s">
        <v>269</v>
      </c>
      <c r="W1583" s="12">
        <v>10</v>
      </c>
      <c r="X1583" s="33" t="str">
        <f>HYPERLINK("https://www.alpinabook.ru/catalog/book-za-granyu-yaponskikh-svechey","ссылка на книгу")</f>
        <v>ссылка на книгу</v>
      </c>
      <c r="Y1583" s="34" t="str">
        <f>HYPERLINK("https://api-enni.alpina.ru/FilePrivilegesApproval/155","https://api-enni.alpina.ru/FilePrivilegesApproval/155")</f>
        <v>https://api-enni.alpina.ru/FilePrivilegesApproval/155</v>
      </c>
      <c r="Z1583" s="13"/>
      <c r="AT1583" s="1">
        <f t="shared" si="288"/>
        <v>0</v>
      </c>
      <c r="AU1583" s="1">
        <f t="shared" si="289"/>
        <v>0</v>
      </c>
      <c r="AV1583" s="1">
        <f t="shared" si="290"/>
        <v>0</v>
      </c>
      <c r="AW1583" s="1">
        <f t="shared" si="291"/>
        <v>0</v>
      </c>
      <c r="AX1583" s="1">
        <f t="shared" si="292"/>
        <v>0</v>
      </c>
    </row>
    <row r="1584" spans="1:50" s="1" customFormat="1" ht="24.95" customHeight="1" outlineLevel="3" x14ac:dyDescent="0.2">
      <c r="A1584" s="11"/>
      <c r="B1584" s="12">
        <v>790</v>
      </c>
      <c r="C1584" s="15">
        <v>1190</v>
      </c>
      <c r="D1584" s="12">
        <v>5786</v>
      </c>
      <c r="E1584" s="13" t="s">
        <v>5108</v>
      </c>
      <c r="F1584" s="13" t="s">
        <v>5138</v>
      </c>
      <c r="G1584" s="13" t="s">
        <v>56</v>
      </c>
      <c r="H1584" s="13" t="s">
        <v>40</v>
      </c>
      <c r="I1584" s="12">
        <v>2025</v>
      </c>
      <c r="J1584" s="13" t="s">
        <v>5139</v>
      </c>
      <c r="K1584" s="12">
        <v>9785961467161</v>
      </c>
      <c r="L1584" s="13" t="s">
        <v>5140</v>
      </c>
      <c r="M1584" s="12">
        <v>280</v>
      </c>
      <c r="N1584" s="14">
        <v>0.46</v>
      </c>
      <c r="O1584" s="12">
        <v>146</v>
      </c>
      <c r="P1584" s="12">
        <v>216</v>
      </c>
      <c r="Q1584" s="12">
        <v>5</v>
      </c>
      <c r="R1584" s="13" t="s">
        <v>43</v>
      </c>
      <c r="S1584" s="13"/>
      <c r="T1584" s="15">
        <v>1000</v>
      </c>
      <c r="U1584" s="13" t="s">
        <v>52</v>
      </c>
      <c r="V1584" s="13" t="s">
        <v>64</v>
      </c>
      <c r="W1584" s="12">
        <v>10</v>
      </c>
      <c r="X1584" s="33" t="str">
        <f>HYPERLINK("https://www.alpinabook.ru/catalog/book-igra-na-ponizhenie","ссылка на книгу")</f>
        <v>ссылка на книгу</v>
      </c>
      <c r="Y1584" s="34" t="str">
        <f>HYPERLINK("https://api-enni.alpina.ru/FilePrivilegesApproval/156","https://api-enni.alpina.ru/FilePrivilegesApproval/156")</f>
        <v>https://api-enni.alpina.ru/FilePrivilegesApproval/156</v>
      </c>
      <c r="Z1584" s="13" t="s">
        <v>847</v>
      </c>
      <c r="AT1584" s="1">
        <f t="shared" si="288"/>
        <v>0</v>
      </c>
      <c r="AU1584" s="1">
        <f t="shared" si="289"/>
        <v>0</v>
      </c>
      <c r="AV1584" s="1">
        <f t="shared" si="290"/>
        <v>0</v>
      </c>
      <c r="AW1584" s="1">
        <f t="shared" si="291"/>
        <v>0</v>
      </c>
      <c r="AX1584" s="1">
        <f t="shared" si="292"/>
        <v>0</v>
      </c>
    </row>
    <row r="1585" spans="1:50" s="1" customFormat="1" ht="21.95" customHeight="1" outlineLevel="3" x14ac:dyDescent="0.2">
      <c r="A1585" s="11"/>
      <c r="B1585" s="12">
        <v>520</v>
      </c>
      <c r="C1585" s="12">
        <v>520</v>
      </c>
      <c r="D1585" s="12">
        <v>11813</v>
      </c>
      <c r="E1585" s="13" t="s">
        <v>5141</v>
      </c>
      <c r="F1585" s="13" t="s">
        <v>5142</v>
      </c>
      <c r="G1585" s="13" t="s">
        <v>97</v>
      </c>
      <c r="H1585" s="13" t="s">
        <v>434</v>
      </c>
      <c r="I1585" s="12">
        <v>2019</v>
      </c>
      <c r="J1585" s="13" t="s">
        <v>5143</v>
      </c>
      <c r="K1585" s="12">
        <v>9785604287866</v>
      </c>
      <c r="L1585" s="13" t="s">
        <v>5144</v>
      </c>
      <c r="M1585" s="12">
        <v>104</v>
      </c>
      <c r="N1585" s="14">
        <v>0.28999999999999998</v>
      </c>
      <c r="O1585" s="12">
        <v>168</v>
      </c>
      <c r="P1585" s="12">
        <v>241</v>
      </c>
      <c r="Q1585" s="12">
        <v>14</v>
      </c>
      <c r="R1585" s="13" t="s">
        <v>94</v>
      </c>
      <c r="S1585" s="13"/>
      <c r="T1585" s="15">
        <v>2000</v>
      </c>
      <c r="U1585" s="13" t="s">
        <v>52</v>
      </c>
      <c r="V1585" s="13" t="s">
        <v>59</v>
      </c>
      <c r="W1585" s="12">
        <v>10</v>
      </c>
      <c r="X1585" s="33" t="str">
        <f>HYPERLINK("https://www.alpinabook.ru/catalog/book-586870","ссылка на книгу")</f>
        <v>ссылка на книгу</v>
      </c>
      <c r="Y1585" s="34" t="str">
        <f>HYPERLINK("","")</f>
        <v/>
      </c>
      <c r="Z1585" s="13"/>
      <c r="AT1585" s="1">
        <f t="shared" si="288"/>
        <v>0</v>
      </c>
      <c r="AU1585" s="1">
        <f t="shared" si="289"/>
        <v>0</v>
      </c>
      <c r="AV1585" s="1">
        <f t="shared" si="290"/>
        <v>0</v>
      </c>
      <c r="AW1585" s="1">
        <f t="shared" si="291"/>
        <v>0</v>
      </c>
      <c r="AX1585" s="1">
        <f t="shared" si="292"/>
        <v>0</v>
      </c>
    </row>
    <row r="1586" spans="1:50" s="1" customFormat="1" ht="24.95" customHeight="1" outlineLevel="3" x14ac:dyDescent="0.2">
      <c r="A1586" s="11"/>
      <c r="B1586" s="12">
        <v>690</v>
      </c>
      <c r="C1586" s="12">
        <v>690</v>
      </c>
      <c r="D1586" s="12">
        <v>23299</v>
      </c>
      <c r="E1586" s="13" t="s">
        <v>5145</v>
      </c>
      <c r="F1586" s="13" t="s">
        <v>5146</v>
      </c>
      <c r="G1586" s="13" t="s">
        <v>56</v>
      </c>
      <c r="H1586" s="13" t="s">
        <v>40</v>
      </c>
      <c r="I1586" s="12">
        <v>2022</v>
      </c>
      <c r="J1586" s="13" t="s">
        <v>5147</v>
      </c>
      <c r="K1586" s="12">
        <v>9785961472059</v>
      </c>
      <c r="L1586" s="13" t="s">
        <v>5148</v>
      </c>
      <c r="M1586" s="12">
        <v>292</v>
      </c>
      <c r="N1586" s="14">
        <v>0.45</v>
      </c>
      <c r="O1586" s="12">
        <v>146</v>
      </c>
      <c r="P1586" s="12">
        <v>216</v>
      </c>
      <c r="Q1586" s="12">
        <v>12</v>
      </c>
      <c r="R1586" s="13" t="s">
        <v>43</v>
      </c>
      <c r="S1586" s="13"/>
      <c r="T1586" s="15">
        <v>2000</v>
      </c>
      <c r="U1586" s="13" t="s">
        <v>52</v>
      </c>
      <c r="V1586" s="13" t="s">
        <v>59</v>
      </c>
      <c r="W1586" s="12">
        <v>10</v>
      </c>
      <c r="X1586" s="33" t="str">
        <f>HYPERLINK("https://www.alpinabook.ru/catalog/book-investiruy-kak-guru","ссылка на книгу")</f>
        <v>ссылка на книгу</v>
      </c>
      <c r="Y1586" s="34" t="str">
        <f>HYPERLINK("https://api-enni.alpina.ru/FilePrivilegesApproval/122","https://api-enni.alpina.ru/FilePrivilegesApproval/122")</f>
        <v>https://api-enni.alpina.ru/FilePrivilegesApproval/122</v>
      </c>
      <c r="Z1586" s="13"/>
      <c r="AT1586" s="1">
        <f t="shared" si="288"/>
        <v>0</v>
      </c>
      <c r="AU1586" s="1">
        <f t="shared" si="289"/>
        <v>0</v>
      </c>
      <c r="AV1586" s="1">
        <f t="shared" si="290"/>
        <v>0</v>
      </c>
      <c r="AW1586" s="1">
        <f t="shared" si="291"/>
        <v>0</v>
      </c>
      <c r="AX1586" s="1">
        <f t="shared" si="292"/>
        <v>0</v>
      </c>
    </row>
    <row r="1587" spans="1:50" s="1" customFormat="1" ht="24.95" customHeight="1" outlineLevel="3" x14ac:dyDescent="0.2">
      <c r="A1587" s="26"/>
      <c r="B1587" s="28">
        <v>1390</v>
      </c>
      <c r="C1587" s="28">
        <v>1790</v>
      </c>
      <c r="D1587" s="27">
        <v>24081</v>
      </c>
      <c r="E1587" s="29" t="s">
        <v>5149</v>
      </c>
      <c r="F1587" s="29" t="s">
        <v>5150</v>
      </c>
      <c r="G1587" s="29" t="s">
        <v>97</v>
      </c>
      <c r="H1587" s="29"/>
      <c r="I1587" s="27">
        <v>2022</v>
      </c>
      <c r="J1587" s="29" t="s">
        <v>5151</v>
      </c>
      <c r="K1587" s="27">
        <v>9785907470453</v>
      </c>
      <c r="L1587" s="29" t="s">
        <v>5152</v>
      </c>
      <c r="M1587" s="27">
        <v>410</v>
      </c>
      <c r="N1587" s="30">
        <v>1.17</v>
      </c>
      <c r="O1587" s="27">
        <v>204</v>
      </c>
      <c r="P1587" s="27">
        <v>266</v>
      </c>
      <c r="Q1587" s="27">
        <v>4</v>
      </c>
      <c r="R1587" s="29" t="s">
        <v>300</v>
      </c>
      <c r="S1587" s="29"/>
      <c r="T1587" s="28">
        <v>1350</v>
      </c>
      <c r="U1587" s="29" t="s">
        <v>268</v>
      </c>
      <c r="V1587" s="29" t="s">
        <v>59</v>
      </c>
      <c r="W1587" s="27">
        <v>10</v>
      </c>
      <c r="X1587" s="37" t="str">
        <f>HYPERLINK("https://www.alpinabook.ru/catalog/book-investitsii-v-infrastrukturu-2022","ссылка на книгу")</f>
        <v>ссылка на книгу</v>
      </c>
      <c r="Y1587" s="38" t="str">
        <f>HYPERLINK("https://api-enni.alpina.ru/FilePrivilegesApproval/129","https://api-enni.alpina.ru/FilePrivilegesApproval/129")</f>
        <v>https://api-enni.alpina.ru/FilePrivilegesApproval/129</v>
      </c>
      <c r="Z1587" s="29"/>
      <c r="AT1587" s="1">
        <f t="shared" si="288"/>
        <v>0</v>
      </c>
      <c r="AU1587" s="1">
        <f t="shared" si="289"/>
        <v>0</v>
      </c>
      <c r="AV1587" s="1">
        <f t="shared" si="290"/>
        <v>0</v>
      </c>
      <c r="AW1587" s="1">
        <f t="shared" si="291"/>
        <v>0</v>
      </c>
      <c r="AX1587" s="1">
        <f t="shared" si="292"/>
        <v>0</v>
      </c>
    </row>
    <row r="1588" spans="1:50" s="1" customFormat="1" ht="24.95" customHeight="1" outlineLevel="3" x14ac:dyDescent="0.2">
      <c r="A1588" s="11"/>
      <c r="B1588" s="15">
        <v>1390</v>
      </c>
      <c r="C1588" s="15">
        <v>1790</v>
      </c>
      <c r="D1588" s="12">
        <v>4706</v>
      </c>
      <c r="E1588" s="13" t="s">
        <v>453</v>
      </c>
      <c r="F1588" s="13" t="s">
        <v>454</v>
      </c>
      <c r="G1588" s="13" t="s">
        <v>56</v>
      </c>
      <c r="H1588" s="13"/>
      <c r="I1588" s="12">
        <v>2025</v>
      </c>
      <c r="J1588" s="13" t="s">
        <v>455</v>
      </c>
      <c r="K1588" s="12">
        <v>9785961469073</v>
      </c>
      <c r="L1588" s="13" t="s">
        <v>456</v>
      </c>
      <c r="M1588" s="12">
        <v>452</v>
      </c>
      <c r="N1588" s="14">
        <v>0.84</v>
      </c>
      <c r="O1588" s="12">
        <v>170</v>
      </c>
      <c r="P1588" s="12">
        <v>27</v>
      </c>
      <c r="Q1588" s="12">
        <v>5</v>
      </c>
      <c r="R1588" s="13" t="s">
        <v>94</v>
      </c>
      <c r="S1588" s="13"/>
      <c r="T1588" s="15">
        <v>1000</v>
      </c>
      <c r="U1588" s="13" t="s">
        <v>52</v>
      </c>
      <c r="V1588" s="13" t="s">
        <v>64</v>
      </c>
      <c r="W1588" s="12">
        <v>10</v>
      </c>
      <c r="X1588" s="33" t="str">
        <f>HYPERLINK("https://www.alpinabook.ru/catalog/book-investitsii-i-treyding","ссылка на книгу")</f>
        <v>ссылка на книгу</v>
      </c>
      <c r="Y1588" s="34" t="str">
        <f>HYPERLINK("https://api-enni.alpina.ru/FilePrivilegesApproval/152","https://api-enni.alpina.ru/FilePrivilegesApproval/152")</f>
        <v>https://api-enni.alpina.ru/FilePrivilegesApproval/152</v>
      </c>
      <c r="Z1588" s="13" t="s">
        <v>282</v>
      </c>
      <c r="AT1588" s="1">
        <f t="shared" si="288"/>
        <v>0</v>
      </c>
      <c r="AU1588" s="1">
        <f t="shared" si="289"/>
        <v>0</v>
      </c>
      <c r="AV1588" s="1">
        <f t="shared" si="290"/>
        <v>0</v>
      </c>
      <c r="AW1588" s="1">
        <f t="shared" si="291"/>
        <v>0</v>
      </c>
      <c r="AX1588" s="1">
        <f t="shared" si="292"/>
        <v>0</v>
      </c>
    </row>
    <row r="1589" spans="1:50" s="1" customFormat="1" ht="24.95" customHeight="1" outlineLevel="3" x14ac:dyDescent="0.2">
      <c r="A1589" s="11"/>
      <c r="B1589" s="15">
        <v>1150</v>
      </c>
      <c r="C1589" s="15">
        <v>1590</v>
      </c>
      <c r="D1589" s="12">
        <v>30201</v>
      </c>
      <c r="E1589" s="13" t="s">
        <v>5153</v>
      </c>
      <c r="F1589" s="13" t="s">
        <v>5154</v>
      </c>
      <c r="G1589" s="13" t="s">
        <v>97</v>
      </c>
      <c r="H1589" s="13"/>
      <c r="I1589" s="12">
        <v>2024</v>
      </c>
      <c r="J1589" s="13" t="s">
        <v>5155</v>
      </c>
      <c r="K1589" s="12">
        <v>9785206003123</v>
      </c>
      <c r="L1589" s="13" t="s">
        <v>5156</v>
      </c>
      <c r="M1589" s="12">
        <v>198</v>
      </c>
      <c r="N1589" s="14">
        <v>0.45</v>
      </c>
      <c r="O1589" s="12">
        <v>170</v>
      </c>
      <c r="P1589" s="12">
        <v>240</v>
      </c>
      <c r="Q1589" s="12">
        <v>10</v>
      </c>
      <c r="R1589" s="13" t="s">
        <v>94</v>
      </c>
      <c r="S1589" s="13"/>
      <c r="T1589" s="15">
        <v>1005</v>
      </c>
      <c r="U1589" s="13" t="s">
        <v>52</v>
      </c>
      <c r="V1589" s="13" t="s">
        <v>45</v>
      </c>
      <c r="W1589" s="12">
        <v>10</v>
      </c>
      <c r="X1589" s="33" t="str">
        <f>HYPERLINK("https://www.alpinabook.ru/catalog/book-kak-vladet-inostrannymi-kompaniyami-i-ne-imet-problem","ссылка на книгу")</f>
        <v>ссылка на книгу</v>
      </c>
      <c r="Y1589" s="34" t="str">
        <f>HYPERLINK("https://api-enni.alpina.ru/FilePrivilegesApproval/409","https://api-enni.alpina.ru/FilePrivilegesApproval/409")</f>
        <v>https://api-enni.alpina.ru/FilePrivilegesApproval/409</v>
      </c>
      <c r="Z1589" s="13"/>
      <c r="AT1589" s="1">
        <f t="shared" si="288"/>
        <v>0</v>
      </c>
      <c r="AU1589" s="1">
        <f t="shared" si="289"/>
        <v>0</v>
      </c>
      <c r="AV1589" s="1">
        <f t="shared" si="290"/>
        <v>0</v>
      </c>
      <c r="AW1589" s="1">
        <f t="shared" si="291"/>
        <v>0</v>
      </c>
      <c r="AX1589" s="1">
        <f t="shared" si="292"/>
        <v>0</v>
      </c>
    </row>
    <row r="1590" spans="1:50" s="1" customFormat="1" ht="24.95" customHeight="1" outlineLevel="3" x14ac:dyDescent="0.2">
      <c r="A1590" s="11"/>
      <c r="B1590" s="12">
        <v>690</v>
      </c>
      <c r="C1590" s="12">
        <v>990</v>
      </c>
      <c r="D1590" s="12">
        <v>23874</v>
      </c>
      <c r="E1590" s="13" t="s">
        <v>5157</v>
      </c>
      <c r="F1590" s="13" t="s">
        <v>5158</v>
      </c>
      <c r="G1590" s="13" t="s">
        <v>56</v>
      </c>
      <c r="H1590" s="13"/>
      <c r="I1590" s="12">
        <v>2025</v>
      </c>
      <c r="J1590" s="13" t="s">
        <v>5159</v>
      </c>
      <c r="K1590" s="12">
        <v>9785961474534</v>
      </c>
      <c r="L1590" s="13" t="s">
        <v>5160</v>
      </c>
      <c r="M1590" s="12">
        <v>212</v>
      </c>
      <c r="N1590" s="14">
        <v>0.36</v>
      </c>
      <c r="O1590" s="12">
        <v>150</v>
      </c>
      <c r="P1590" s="12">
        <v>220</v>
      </c>
      <c r="Q1590" s="12">
        <v>8</v>
      </c>
      <c r="R1590" s="13" t="s">
        <v>43</v>
      </c>
      <c r="S1590" s="13"/>
      <c r="T1590" s="15">
        <v>1000</v>
      </c>
      <c r="U1590" s="13" t="s">
        <v>52</v>
      </c>
      <c r="V1590" s="13" t="s">
        <v>59</v>
      </c>
      <c r="W1590" s="12">
        <v>10</v>
      </c>
      <c r="X1590" s="33" t="str">
        <f>HYPERLINK("https://www.alpinabook.ru/catalog/book-kak-zarabatyvat-na-aktsiyakh","ссылка на книгу")</f>
        <v>ссылка на книгу</v>
      </c>
      <c r="Y1590" s="34" t="str">
        <f>HYPERLINK("https://api-enni.alpina.ru/FilePrivilegesApproval/122","https://api-enni.alpina.ru/FilePrivilegesApproval/122")</f>
        <v>https://api-enni.alpina.ru/FilePrivilegesApproval/122</v>
      </c>
      <c r="Z1590" s="13"/>
      <c r="AT1590" s="1">
        <f t="shared" si="288"/>
        <v>0</v>
      </c>
      <c r="AU1590" s="1">
        <f t="shared" si="289"/>
        <v>0</v>
      </c>
      <c r="AV1590" s="1">
        <f t="shared" si="290"/>
        <v>0</v>
      </c>
      <c r="AW1590" s="1">
        <f t="shared" si="291"/>
        <v>0</v>
      </c>
      <c r="AX1590" s="1">
        <f t="shared" si="292"/>
        <v>0</v>
      </c>
    </row>
    <row r="1591" spans="1:50" s="1" customFormat="1" ht="24.95" customHeight="1" outlineLevel="3" x14ac:dyDescent="0.2">
      <c r="A1591" s="11"/>
      <c r="B1591" s="15">
        <v>1390</v>
      </c>
      <c r="C1591" s="15">
        <v>1390</v>
      </c>
      <c r="D1591" s="12">
        <v>11566</v>
      </c>
      <c r="E1591" s="13" t="s">
        <v>699</v>
      </c>
      <c r="F1591" s="13" t="s">
        <v>5161</v>
      </c>
      <c r="G1591" s="13" t="s">
        <v>97</v>
      </c>
      <c r="H1591" s="13" t="s">
        <v>40</v>
      </c>
      <c r="I1591" s="12">
        <v>2025</v>
      </c>
      <c r="J1591" s="13" t="s">
        <v>5162</v>
      </c>
      <c r="K1591" s="12">
        <v>9785206000085</v>
      </c>
      <c r="L1591" s="13" t="s">
        <v>5163</v>
      </c>
      <c r="M1591" s="12">
        <v>332</v>
      </c>
      <c r="N1591" s="14">
        <v>0.68</v>
      </c>
      <c r="O1591" s="12">
        <v>170</v>
      </c>
      <c r="P1591" s="12">
        <v>240</v>
      </c>
      <c r="Q1591" s="12">
        <v>5</v>
      </c>
      <c r="R1591" s="13" t="s">
        <v>94</v>
      </c>
      <c r="S1591" s="13"/>
      <c r="T1591" s="15">
        <v>3000</v>
      </c>
      <c r="U1591" s="13" t="s">
        <v>44</v>
      </c>
      <c r="V1591" s="13" t="s">
        <v>59</v>
      </c>
      <c r="W1591" s="12">
        <v>10</v>
      </c>
      <c r="X1591" s="33" t="str">
        <f>HYPERLINK("https://www.alpinabook.ru/catalog/book-kak-igrat-i-vyigryvat-na-birzhe-v-xxi-veke","ссылка на книгу")</f>
        <v>ссылка на книгу</v>
      </c>
      <c r="Y1591" s="34" t="str">
        <f>HYPERLINK("https://api-enni.alpina.ru/FilePrivilegesApproval/168","https://api-enni.alpina.ru/FilePrivilegesApproval/168")</f>
        <v>https://api-enni.alpina.ru/FilePrivilegesApproval/168</v>
      </c>
      <c r="Z1591" s="13" t="s">
        <v>4937</v>
      </c>
      <c r="AT1591" s="1">
        <f t="shared" si="288"/>
        <v>0</v>
      </c>
      <c r="AU1591" s="1">
        <f t="shared" si="289"/>
        <v>0</v>
      </c>
      <c r="AV1591" s="1">
        <f t="shared" si="290"/>
        <v>0</v>
      </c>
      <c r="AW1591" s="1">
        <f t="shared" si="291"/>
        <v>0</v>
      </c>
      <c r="AX1591" s="1">
        <f t="shared" si="292"/>
        <v>0</v>
      </c>
    </row>
    <row r="1592" spans="1:50" s="1" customFormat="1" ht="24.95" customHeight="1" outlineLevel="3" x14ac:dyDescent="0.2">
      <c r="A1592" s="11"/>
      <c r="B1592" s="15">
        <v>1690</v>
      </c>
      <c r="C1592" s="15">
        <v>2190</v>
      </c>
      <c r="D1592" s="12">
        <v>18501</v>
      </c>
      <c r="E1592" s="13" t="s">
        <v>699</v>
      </c>
      <c r="F1592" s="13" t="s">
        <v>5164</v>
      </c>
      <c r="G1592" s="13" t="s">
        <v>56</v>
      </c>
      <c r="H1592" s="13"/>
      <c r="I1592" s="12">
        <v>2025</v>
      </c>
      <c r="J1592" s="13" t="s">
        <v>5165</v>
      </c>
      <c r="K1592" s="12">
        <v>9785961435870</v>
      </c>
      <c r="L1592" s="13" t="s">
        <v>5166</v>
      </c>
      <c r="M1592" s="12">
        <v>471</v>
      </c>
      <c r="N1592" s="14">
        <v>0.83</v>
      </c>
      <c r="O1592" s="12">
        <v>167</v>
      </c>
      <c r="P1592" s="12">
        <v>240</v>
      </c>
      <c r="Q1592" s="12">
        <v>5</v>
      </c>
      <c r="R1592" s="13" t="s">
        <v>94</v>
      </c>
      <c r="S1592" s="13"/>
      <c r="T1592" s="15">
        <v>1000</v>
      </c>
      <c r="U1592" s="13" t="s">
        <v>52</v>
      </c>
      <c r="V1592" s="13" t="s">
        <v>64</v>
      </c>
      <c r="W1592" s="12">
        <v>10</v>
      </c>
      <c r="X1592" s="33" t="str">
        <f>HYPERLINK("https://www.alpinabook.ru/catalog/book-kak-igrat-i-vyigryvat-na-birzhe","ссылка на книгу")</f>
        <v>ссылка на книгу</v>
      </c>
      <c r="Y1592" s="34" t="str">
        <f>HYPERLINK("https://api-enni.alpina.ru/FilePrivilegesApproval/111","https://api-enni.alpina.ru/FilePrivilegesApproval/111")</f>
        <v>https://api-enni.alpina.ru/FilePrivilegesApproval/111</v>
      </c>
      <c r="Z1592" s="13" t="s">
        <v>847</v>
      </c>
      <c r="AT1592" s="1">
        <f t="shared" si="288"/>
        <v>0</v>
      </c>
      <c r="AU1592" s="1">
        <f t="shared" si="289"/>
        <v>0</v>
      </c>
      <c r="AV1592" s="1">
        <f t="shared" si="290"/>
        <v>0</v>
      </c>
      <c r="AW1592" s="1">
        <f t="shared" si="291"/>
        <v>0</v>
      </c>
      <c r="AX1592" s="1">
        <f t="shared" si="292"/>
        <v>0</v>
      </c>
    </row>
    <row r="1593" spans="1:50" s="1" customFormat="1" ht="24.95" customHeight="1" outlineLevel="3" x14ac:dyDescent="0.2">
      <c r="A1593" s="11"/>
      <c r="B1593" s="12">
        <v>890</v>
      </c>
      <c r="C1593" s="15">
        <v>1290</v>
      </c>
      <c r="D1593" s="12">
        <v>31416</v>
      </c>
      <c r="E1593" s="13" t="s">
        <v>5167</v>
      </c>
      <c r="F1593" s="13" t="s">
        <v>5168</v>
      </c>
      <c r="G1593" s="13" t="s">
        <v>56</v>
      </c>
      <c r="H1593" s="13"/>
      <c r="I1593" s="12">
        <v>2025</v>
      </c>
      <c r="J1593" s="13" t="s">
        <v>5169</v>
      </c>
      <c r="K1593" s="12">
        <v>9785961498608</v>
      </c>
      <c r="L1593" s="13" t="s">
        <v>5170</v>
      </c>
      <c r="M1593" s="12">
        <v>302</v>
      </c>
      <c r="N1593" s="14">
        <v>0.47</v>
      </c>
      <c r="O1593" s="12">
        <v>150</v>
      </c>
      <c r="P1593" s="12">
        <v>220</v>
      </c>
      <c r="Q1593" s="12">
        <v>14</v>
      </c>
      <c r="R1593" s="13" t="s">
        <v>43</v>
      </c>
      <c r="S1593" s="13"/>
      <c r="T1593" s="15">
        <v>1500</v>
      </c>
      <c r="U1593" s="13" t="s">
        <v>52</v>
      </c>
      <c r="V1593" s="13" t="s">
        <v>64</v>
      </c>
      <c r="W1593" s="12">
        <v>10</v>
      </c>
      <c r="X1593" s="33" t="str">
        <f>HYPERLINK("https://www.alpinabook.ru/catalog/book-kak-otsenit-biznes-po-analogii","ссылка на книгу")</f>
        <v>ссылка на книгу</v>
      </c>
      <c r="Y1593" s="34" t="str">
        <f>HYPERLINK("https://api-enni.alpina.ru/FilePrivilegesApproval/571","https://api-enni.alpina.ru/FilePrivilegesApproval/571")</f>
        <v>https://api-enni.alpina.ru/FilePrivilegesApproval/571</v>
      </c>
      <c r="Z1593" s="13" t="s">
        <v>1342</v>
      </c>
      <c r="AT1593" s="1">
        <f t="shared" si="288"/>
        <v>0</v>
      </c>
      <c r="AU1593" s="1">
        <f t="shared" si="289"/>
        <v>0</v>
      </c>
      <c r="AV1593" s="1">
        <f t="shared" si="290"/>
        <v>0</v>
      </c>
      <c r="AW1593" s="1">
        <f t="shared" si="291"/>
        <v>0</v>
      </c>
      <c r="AX1593" s="1">
        <f t="shared" si="292"/>
        <v>0</v>
      </c>
    </row>
    <row r="1594" spans="1:50" s="1" customFormat="1" ht="24.95" customHeight="1" outlineLevel="3" x14ac:dyDescent="0.2">
      <c r="A1594" s="11"/>
      <c r="B1594" s="12">
        <v>890</v>
      </c>
      <c r="C1594" s="12">
        <v>890</v>
      </c>
      <c r="D1594" s="12">
        <v>12437</v>
      </c>
      <c r="E1594" s="13" t="s">
        <v>5171</v>
      </c>
      <c r="F1594" s="13" t="s">
        <v>5172</v>
      </c>
      <c r="G1594" s="13" t="s">
        <v>56</v>
      </c>
      <c r="H1594" s="13"/>
      <c r="I1594" s="12">
        <v>2022</v>
      </c>
      <c r="J1594" s="13" t="s">
        <v>5173</v>
      </c>
      <c r="K1594" s="12">
        <v>9785961435863</v>
      </c>
      <c r="L1594" s="13" t="s">
        <v>5174</v>
      </c>
      <c r="M1594" s="12">
        <v>274</v>
      </c>
      <c r="N1594" s="14">
        <v>0.5</v>
      </c>
      <c r="O1594" s="12">
        <v>168</v>
      </c>
      <c r="P1594" s="12">
        <v>241</v>
      </c>
      <c r="Q1594" s="12">
        <v>8</v>
      </c>
      <c r="R1594" s="13" t="s">
        <v>94</v>
      </c>
      <c r="S1594" s="13"/>
      <c r="T1594" s="15">
        <v>1500</v>
      </c>
      <c r="U1594" s="13" t="s">
        <v>52</v>
      </c>
      <c r="V1594" s="13" t="s">
        <v>89</v>
      </c>
      <c r="W1594" s="12">
        <v>10</v>
      </c>
      <c r="X1594" s="33" t="str">
        <f>HYPERLINK("https://www.alpinabook.ru/catalog/book-kogda-plokho-eto-khorosho","ссылка на книгу")</f>
        <v>ссылка на книгу</v>
      </c>
      <c r="Y1594" s="34" t="str">
        <f>HYPERLINK("https://api-enni.alpina.ru/FilePrivilegesApproval/125","https://api-enni.alpina.ru/FilePrivilegesApproval/125")</f>
        <v>https://api-enni.alpina.ru/FilePrivilegesApproval/125</v>
      </c>
      <c r="Z1594" s="13"/>
      <c r="AT1594" s="1">
        <f t="shared" si="288"/>
        <v>0</v>
      </c>
      <c r="AU1594" s="1">
        <f t="shared" si="289"/>
        <v>0</v>
      </c>
      <c r="AV1594" s="1">
        <f t="shared" si="290"/>
        <v>0</v>
      </c>
      <c r="AW1594" s="1">
        <f t="shared" si="291"/>
        <v>0</v>
      </c>
      <c r="AX1594" s="1">
        <f t="shared" si="292"/>
        <v>0</v>
      </c>
    </row>
    <row r="1595" spans="1:50" s="1" customFormat="1" ht="24.95" customHeight="1" outlineLevel="3" x14ac:dyDescent="0.2">
      <c r="A1595" s="11"/>
      <c r="B1595" s="12">
        <v>740</v>
      </c>
      <c r="C1595" s="15">
        <v>1090</v>
      </c>
      <c r="D1595" s="12">
        <v>2802</v>
      </c>
      <c r="E1595" s="13" t="s">
        <v>5175</v>
      </c>
      <c r="F1595" s="13" t="s">
        <v>5176</v>
      </c>
      <c r="G1595" s="13" t="s">
        <v>97</v>
      </c>
      <c r="H1595" s="13" t="s">
        <v>40</v>
      </c>
      <c r="I1595" s="12">
        <v>2024</v>
      </c>
      <c r="J1595" s="13" t="s">
        <v>5177</v>
      </c>
      <c r="K1595" s="12">
        <v>9785907394964</v>
      </c>
      <c r="L1595" s="13" t="s">
        <v>5178</v>
      </c>
      <c r="M1595" s="12">
        <v>398</v>
      </c>
      <c r="N1595" s="14">
        <v>0.74</v>
      </c>
      <c r="O1595" s="12">
        <v>171</v>
      </c>
      <c r="P1595" s="12">
        <v>241</v>
      </c>
      <c r="Q1595" s="12">
        <v>5</v>
      </c>
      <c r="R1595" s="13" t="s">
        <v>94</v>
      </c>
      <c r="S1595" s="13"/>
      <c r="T1595" s="15">
        <v>1000</v>
      </c>
      <c r="U1595" s="13" t="s">
        <v>52</v>
      </c>
      <c r="V1595" s="13" t="s">
        <v>64</v>
      </c>
      <c r="W1595" s="12">
        <v>10</v>
      </c>
      <c r="X1595" s="33" t="str">
        <f>HYPERLINK("https://www.alpinabook.ru/catalog/book-kratkosrochnyy-treyding-na-fondovom-rynke","ссылка на книгу")</f>
        <v>ссылка на книгу</v>
      </c>
      <c r="Y1595" s="34" t="str">
        <f>HYPERLINK("https://api-enni.alpina.ru/FilePrivilegesApproval/2","https://api-enni.alpina.ru/FilePrivilegesApproval/2")</f>
        <v>https://api-enni.alpina.ru/FilePrivilegesApproval/2</v>
      </c>
      <c r="Z1595" s="13" t="s">
        <v>3704</v>
      </c>
      <c r="AT1595" s="1">
        <f t="shared" si="288"/>
        <v>0</v>
      </c>
      <c r="AU1595" s="1">
        <f t="shared" si="289"/>
        <v>0</v>
      </c>
      <c r="AV1595" s="1">
        <f t="shared" si="290"/>
        <v>0</v>
      </c>
      <c r="AW1595" s="1">
        <f t="shared" si="291"/>
        <v>0</v>
      </c>
      <c r="AX1595" s="1">
        <f t="shared" si="292"/>
        <v>0</v>
      </c>
    </row>
    <row r="1596" spans="1:50" s="1" customFormat="1" ht="24.95" customHeight="1" outlineLevel="3" x14ac:dyDescent="0.2">
      <c r="A1596" s="11"/>
      <c r="B1596" s="15">
        <v>1690</v>
      </c>
      <c r="C1596" s="15">
        <v>2190</v>
      </c>
      <c r="D1596" s="12">
        <v>11409</v>
      </c>
      <c r="E1596" s="13" t="s">
        <v>5179</v>
      </c>
      <c r="F1596" s="13" t="s">
        <v>5180</v>
      </c>
      <c r="G1596" s="13" t="s">
        <v>56</v>
      </c>
      <c r="H1596" s="13"/>
      <c r="I1596" s="12">
        <v>2024</v>
      </c>
      <c r="J1596" s="13" t="s">
        <v>5181</v>
      </c>
      <c r="K1596" s="12">
        <v>9785961423747</v>
      </c>
      <c r="L1596" s="13" t="s">
        <v>5182</v>
      </c>
      <c r="M1596" s="12">
        <v>342</v>
      </c>
      <c r="N1596" s="14">
        <v>0.65</v>
      </c>
      <c r="O1596" s="12">
        <v>170</v>
      </c>
      <c r="P1596" s="12">
        <v>240</v>
      </c>
      <c r="Q1596" s="12">
        <v>6</v>
      </c>
      <c r="R1596" s="13" t="s">
        <v>94</v>
      </c>
      <c r="S1596" s="13"/>
      <c r="T1596" s="15">
        <v>6000</v>
      </c>
      <c r="U1596" s="13" t="s">
        <v>52</v>
      </c>
      <c r="V1596" s="13" t="s">
        <v>269</v>
      </c>
      <c r="W1596" s="12">
        <v>10</v>
      </c>
      <c r="X1596" s="33" t="str">
        <f>HYPERLINK("https://www.alpinabook.ru/catalog/book-kurs-aktivnogo-treydera","ссылка на книгу")</f>
        <v>ссылка на книгу</v>
      </c>
      <c r="Y1596" s="34" t="str">
        <f>HYPERLINK("https://api-enni.alpina.ru/FilePrivilegesApproval/122","https://api-enni.alpina.ru/FilePrivilegesApproval/122")</f>
        <v>https://api-enni.alpina.ru/FilePrivilegesApproval/122</v>
      </c>
      <c r="Z1596" s="13"/>
      <c r="AT1596" s="1">
        <f t="shared" si="288"/>
        <v>0</v>
      </c>
      <c r="AU1596" s="1">
        <f t="shared" si="289"/>
        <v>0</v>
      </c>
      <c r="AV1596" s="1">
        <f t="shared" si="290"/>
        <v>0</v>
      </c>
      <c r="AW1596" s="1">
        <f t="shared" si="291"/>
        <v>0</v>
      </c>
      <c r="AX1596" s="1">
        <f t="shared" si="292"/>
        <v>0</v>
      </c>
    </row>
    <row r="1597" spans="1:50" s="1" customFormat="1" ht="24.95" customHeight="1" outlineLevel="3" x14ac:dyDescent="0.2">
      <c r="A1597" s="11"/>
      <c r="B1597" s="12">
        <v>940</v>
      </c>
      <c r="C1597" s="15">
        <v>1390</v>
      </c>
      <c r="D1597" s="12">
        <v>6507</v>
      </c>
      <c r="E1597" s="13" t="s">
        <v>5183</v>
      </c>
      <c r="F1597" s="13" t="s">
        <v>5184</v>
      </c>
      <c r="G1597" s="13" t="s">
        <v>56</v>
      </c>
      <c r="H1597" s="13"/>
      <c r="I1597" s="12">
        <v>2025</v>
      </c>
      <c r="J1597" s="13" t="s">
        <v>5185</v>
      </c>
      <c r="K1597" s="12">
        <v>9785961468878</v>
      </c>
      <c r="L1597" s="13" t="s">
        <v>5186</v>
      </c>
      <c r="M1597" s="12">
        <v>460</v>
      </c>
      <c r="N1597" s="14">
        <v>0.83</v>
      </c>
      <c r="O1597" s="12">
        <v>168</v>
      </c>
      <c r="P1597" s="12">
        <v>241</v>
      </c>
      <c r="Q1597" s="12">
        <v>5</v>
      </c>
      <c r="R1597" s="13" t="s">
        <v>94</v>
      </c>
      <c r="S1597" s="13"/>
      <c r="T1597" s="15">
        <v>2000</v>
      </c>
      <c r="U1597" s="13" t="s">
        <v>52</v>
      </c>
      <c r="V1597" s="13" t="s">
        <v>64</v>
      </c>
      <c r="W1597" s="12">
        <v>10</v>
      </c>
      <c r="X1597" s="33" t="str">
        <f>HYPERLINK("https://www.alpinabook.ru/catalog/book-malaya-entsiklopediya-treydera","ссылка на книгу")</f>
        <v>ссылка на книгу</v>
      </c>
      <c r="Y1597" s="34" t="str">
        <f>HYPERLINK("https://api-enni.alpina.ru/FilePrivilegesApproval/2","https://api-enni.alpina.ru/FilePrivilegesApproval/2")</f>
        <v>https://api-enni.alpina.ru/FilePrivilegesApproval/2</v>
      </c>
      <c r="Z1597" s="13" t="s">
        <v>5187</v>
      </c>
      <c r="AT1597" s="1">
        <f t="shared" si="288"/>
        <v>0</v>
      </c>
      <c r="AU1597" s="1">
        <f t="shared" si="289"/>
        <v>0</v>
      </c>
      <c r="AV1597" s="1">
        <f t="shared" si="290"/>
        <v>0</v>
      </c>
      <c r="AW1597" s="1">
        <f t="shared" si="291"/>
        <v>0</v>
      </c>
      <c r="AX1597" s="1">
        <f t="shared" si="292"/>
        <v>0</v>
      </c>
    </row>
    <row r="1598" spans="1:50" s="1" customFormat="1" ht="24.95" customHeight="1" outlineLevel="3" x14ac:dyDescent="0.2">
      <c r="A1598" s="11"/>
      <c r="B1598" s="12">
        <v>690</v>
      </c>
      <c r="C1598" s="12">
        <v>990</v>
      </c>
      <c r="D1598" s="12">
        <v>7944</v>
      </c>
      <c r="E1598" s="13" t="s">
        <v>5188</v>
      </c>
      <c r="F1598" s="13" t="s">
        <v>5189</v>
      </c>
      <c r="G1598" s="13" t="s">
        <v>97</v>
      </c>
      <c r="H1598" s="13" t="s">
        <v>40</v>
      </c>
      <c r="I1598" s="12">
        <v>2024</v>
      </c>
      <c r="J1598" s="13" t="s">
        <v>5190</v>
      </c>
      <c r="K1598" s="12">
        <v>9785907274112</v>
      </c>
      <c r="L1598" s="13" t="s">
        <v>5191</v>
      </c>
      <c r="M1598" s="12">
        <v>228</v>
      </c>
      <c r="N1598" s="14">
        <v>0.38</v>
      </c>
      <c r="O1598" s="12">
        <v>146</v>
      </c>
      <c r="P1598" s="12">
        <v>216</v>
      </c>
      <c r="Q1598" s="12">
        <v>9</v>
      </c>
      <c r="R1598" s="13" t="s">
        <v>43</v>
      </c>
      <c r="S1598" s="13"/>
      <c r="T1598" s="15">
        <v>2000</v>
      </c>
      <c r="U1598" s="13" t="s">
        <v>52</v>
      </c>
      <c r="V1598" s="13" t="s">
        <v>64</v>
      </c>
      <c r="W1598" s="12">
        <v>10</v>
      </c>
      <c r="X1598" s="33" t="str">
        <f>HYPERLINK("https://www.alpinabook.ru/catalog/book-manifest-investora","ссылка на книгу")</f>
        <v>ссылка на книгу</v>
      </c>
      <c r="Y1598" s="34" t="str">
        <f>HYPERLINK("https://api-enni.alpina.ru/FilePrivilegesApproval/2","https://api-enni.alpina.ru/FilePrivilegesApproval/2")</f>
        <v>https://api-enni.alpina.ru/FilePrivilegesApproval/2</v>
      </c>
      <c r="Z1598" s="13"/>
      <c r="AT1598" s="1">
        <f t="shared" si="288"/>
        <v>0</v>
      </c>
      <c r="AU1598" s="1">
        <f t="shared" si="289"/>
        <v>0</v>
      </c>
      <c r="AV1598" s="1">
        <f t="shared" si="290"/>
        <v>0</v>
      </c>
      <c r="AW1598" s="1">
        <f t="shared" si="291"/>
        <v>0</v>
      </c>
      <c r="AX1598" s="1">
        <f t="shared" si="292"/>
        <v>0</v>
      </c>
    </row>
    <row r="1599" spans="1:50" s="1" customFormat="1" ht="24.95" customHeight="1" outlineLevel="3" x14ac:dyDescent="0.2">
      <c r="A1599" s="11"/>
      <c r="B1599" s="15">
        <v>1590</v>
      </c>
      <c r="C1599" s="15">
        <v>1990</v>
      </c>
      <c r="D1599" s="12">
        <v>6116</v>
      </c>
      <c r="E1599" s="13" t="s">
        <v>5192</v>
      </c>
      <c r="F1599" s="13" t="s">
        <v>5193</v>
      </c>
      <c r="G1599" s="13" t="s">
        <v>97</v>
      </c>
      <c r="H1599" s="13" t="s">
        <v>40</v>
      </c>
      <c r="I1599" s="12">
        <v>2023</v>
      </c>
      <c r="J1599" s="13" t="s">
        <v>5194</v>
      </c>
      <c r="K1599" s="12">
        <v>9785961470529</v>
      </c>
      <c r="L1599" s="13" t="s">
        <v>5195</v>
      </c>
      <c r="M1599" s="12">
        <v>400</v>
      </c>
      <c r="N1599" s="14">
        <v>0.74</v>
      </c>
      <c r="O1599" s="12">
        <v>171</v>
      </c>
      <c r="P1599" s="12">
        <v>241</v>
      </c>
      <c r="Q1599" s="12">
        <v>4</v>
      </c>
      <c r="R1599" s="13" t="s">
        <v>94</v>
      </c>
      <c r="S1599" s="13"/>
      <c r="T1599" s="15">
        <v>1000</v>
      </c>
      <c r="U1599" s="13" t="s">
        <v>52</v>
      </c>
      <c r="V1599" s="13" t="s">
        <v>64</v>
      </c>
      <c r="W1599" s="12">
        <v>10</v>
      </c>
      <c r="X1599" s="33" t="str">
        <f>HYPERLINK("https://www.alpinabook.ru/catalog/book-matematika-upravleniya-kapitalom","ссылка на книгу")</f>
        <v>ссылка на книгу</v>
      </c>
      <c r="Y1599" s="34" t="str">
        <f>HYPERLINK("https://api-enni.alpina.ru/FilePrivilegesApproval/2","https://api-enni.alpina.ru/FilePrivilegesApproval/2")</f>
        <v>https://api-enni.alpina.ru/FilePrivilegesApproval/2</v>
      </c>
      <c r="Z1599" s="13"/>
      <c r="AT1599" s="1">
        <f t="shared" si="288"/>
        <v>0</v>
      </c>
      <c r="AU1599" s="1">
        <f t="shared" si="289"/>
        <v>0</v>
      </c>
      <c r="AV1599" s="1">
        <f t="shared" si="290"/>
        <v>0</v>
      </c>
      <c r="AW1599" s="1">
        <f t="shared" si="291"/>
        <v>0</v>
      </c>
      <c r="AX1599" s="1">
        <f t="shared" si="292"/>
        <v>0</v>
      </c>
    </row>
    <row r="1600" spans="1:50" s="1" customFormat="1" ht="24.95" customHeight="1" outlineLevel="3" x14ac:dyDescent="0.2">
      <c r="A1600" s="11"/>
      <c r="B1600" s="12">
        <v>990</v>
      </c>
      <c r="C1600" s="15">
        <v>1490</v>
      </c>
      <c r="D1600" s="12">
        <v>5008</v>
      </c>
      <c r="E1600" s="13" t="s">
        <v>5104</v>
      </c>
      <c r="F1600" s="13" t="s">
        <v>5196</v>
      </c>
      <c r="G1600" s="13" t="s">
        <v>97</v>
      </c>
      <c r="H1600" s="13" t="s">
        <v>40</v>
      </c>
      <c r="I1600" s="12">
        <v>2021</v>
      </c>
      <c r="J1600" s="13" t="s">
        <v>5197</v>
      </c>
      <c r="K1600" s="12">
        <v>9785907274136</v>
      </c>
      <c r="L1600" s="13" t="s">
        <v>5198</v>
      </c>
      <c r="M1600" s="12">
        <v>266</v>
      </c>
      <c r="N1600" s="14">
        <v>0.55000000000000004</v>
      </c>
      <c r="O1600" s="12">
        <v>168</v>
      </c>
      <c r="P1600" s="12">
        <v>241</v>
      </c>
      <c r="Q1600" s="12">
        <v>7</v>
      </c>
      <c r="R1600" s="13" t="s">
        <v>94</v>
      </c>
      <c r="S1600" s="13"/>
      <c r="T1600" s="15">
        <v>5000</v>
      </c>
      <c r="U1600" s="13" t="s">
        <v>52</v>
      </c>
      <c r="V1600" s="13" t="s">
        <v>64</v>
      </c>
      <c r="W1600" s="12">
        <v>10</v>
      </c>
      <c r="X1600" s="33" t="str">
        <f>HYPERLINK("https://www.alpinabook.ru/catalog/book-metod-pitera-lincha","ссылка на книгу")</f>
        <v>ссылка на книгу</v>
      </c>
      <c r="Y1600" s="34" t="str">
        <f>HYPERLINK("https://api-enni.alpina.ru/FilePrivilegesApproval/2","https://api-enni.alpina.ru/FilePrivilegesApproval/2")</f>
        <v>https://api-enni.alpina.ru/FilePrivilegesApproval/2</v>
      </c>
      <c r="Z1600" s="13"/>
      <c r="AT1600" s="1">
        <f t="shared" si="288"/>
        <v>0</v>
      </c>
      <c r="AU1600" s="1">
        <f t="shared" si="289"/>
        <v>0</v>
      </c>
      <c r="AV1600" s="1">
        <f t="shared" si="290"/>
        <v>0</v>
      </c>
      <c r="AW1600" s="1">
        <f t="shared" si="291"/>
        <v>0</v>
      </c>
      <c r="AX1600" s="1">
        <f t="shared" si="292"/>
        <v>0</v>
      </c>
    </row>
    <row r="1601" spans="1:50" s="1" customFormat="1" ht="24.95" customHeight="1" outlineLevel="3" x14ac:dyDescent="0.2">
      <c r="A1601" s="11"/>
      <c r="B1601" s="15">
        <v>1220</v>
      </c>
      <c r="C1601" s="15">
        <v>1690</v>
      </c>
      <c r="D1601" s="12">
        <v>8155</v>
      </c>
      <c r="E1601" s="13" t="s">
        <v>5199</v>
      </c>
      <c r="F1601" s="13" t="s">
        <v>5200</v>
      </c>
      <c r="G1601" s="13" t="s">
        <v>97</v>
      </c>
      <c r="H1601" s="13" t="s">
        <v>40</v>
      </c>
      <c r="I1601" s="12">
        <v>2022</v>
      </c>
      <c r="J1601" s="13" t="s">
        <v>5201</v>
      </c>
      <c r="K1601" s="12">
        <v>9785907394742</v>
      </c>
      <c r="L1601" s="13" t="s">
        <v>5202</v>
      </c>
      <c r="M1601" s="12">
        <v>544</v>
      </c>
      <c r="N1601" s="14">
        <v>0.98</v>
      </c>
      <c r="O1601" s="12">
        <v>168</v>
      </c>
      <c r="P1601" s="12">
        <v>241</v>
      </c>
      <c r="Q1601" s="12">
        <v>4</v>
      </c>
      <c r="R1601" s="13" t="s">
        <v>94</v>
      </c>
      <c r="S1601" s="13"/>
      <c r="T1601" s="15">
        <v>1500</v>
      </c>
      <c r="U1601" s="13" t="s">
        <v>52</v>
      </c>
      <c r="V1601" s="13" t="s">
        <v>64</v>
      </c>
      <c r="W1601" s="12">
        <v>10</v>
      </c>
      <c r="X1601" s="33" t="str">
        <f>HYPERLINK("https://www.alpinabook.ru/catalog/book-ne-verte-tsifram","ссылка на книгу")</f>
        <v>ссылка на книгу</v>
      </c>
      <c r="Y1601" s="34" t="str">
        <f>HYPERLINK("https://api-enni.alpina.ru/FilePrivilegesApproval/2","https://api-enni.alpina.ru/FilePrivilegesApproval/2")</f>
        <v>https://api-enni.alpina.ru/FilePrivilegesApproval/2</v>
      </c>
      <c r="Z1601" s="13"/>
      <c r="AT1601" s="1">
        <f t="shared" si="288"/>
        <v>0</v>
      </c>
      <c r="AU1601" s="1">
        <f t="shared" si="289"/>
        <v>0</v>
      </c>
      <c r="AV1601" s="1">
        <f t="shared" si="290"/>
        <v>0</v>
      </c>
      <c r="AW1601" s="1">
        <f t="shared" si="291"/>
        <v>0</v>
      </c>
      <c r="AX1601" s="1">
        <f t="shared" si="292"/>
        <v>0</v>
      </c>
    </row>
    <row r="1602" spans="1:50" s="1" customFormat="1" ht="24.95" customHeight="1" outlineLevel="3" x14ac:dyDescent="0.2">
      <c r="A1602" s="11"/>
      <c r="B1602" s="15">
        <v>1040</v>
      </c>
      <c r="C1602" s="15">
        <v>1490</v>
      </c>
      <c r="D1602" s="12">
        <v>5928</v>
      </c>
      <c r="E1602" s="13" t="s">
        <v>5203</v>
      </c>
      <c r="F1602" s="13" t="s">
        <v>5204</v>
      </c>
      <c r="G1602" s="13" t="s">
        <v>97</v>
      </c>
      <c r="H1602" s="13" t="s">
        <v>40</v>
      </c>
      <c r="I1602" s="12">
        <v>2023</v>
      </c>
      <c r="J1602" s="13" t="s">
        <v>5205</v>
      </c>
      <c r="K1602" s="12">
        <v>9785961416558</v>
      </c>
      <c r="L1602" s="13" t="s">
        <v>5206</v>
      </c>
      <c r="M1602" s="12">
        <v>338</v>
      </c>
      <c r="N1602" s="14">
        <v>0.67</v>
      </c>
      <c r="O1602" s="12">
        <v>171</v>
      </c>
      <c r="P1602" s="12">
        <v>241</v>
      </c>
      <c r="Q1602" s="12">
        <v>5</v>
      </c>
      <c r="R1602" s="13" t="s">
        <v>94</v>
      </c>
      <c r="S1602" s="13"/>
      <c r="T1602" s="15">
        <v>1000</v>
      </c>
      <c r="U1602" s="13" t="s">
        <v>52</v>
      </c>
      <c r="V1602" s="13" t="s">
        <v>64</v>
      </c>
      <c r="W1602" s="12">
        <v>10</v>
      </c>
      <c r="X1602" s="33" t="str">
        <f>HYPERLINK("https://www.alpinabook.ru/catalog/book-opasnye-igry-s-derivativami","ссылка на книгу")</f>
        <v>ссылка на книгу</v>
      </c>
      <c r="Y1602" s="34" t="str">
        <f>HYPERLINK("https://api-enni.alpina.ru/FilePrivilegesApproval/142","https://api-enni.alpina.ru/FilePrivilegesApproval/142")</f>
        <v>https://api-enni.alpina.ru/FilePrivilegesApproval/142</v>
      </c>
      <c r="Z1602" s="13" t="s">
        <v>4526</v>
      </c>
      <c r="AT1602" s="1">
        <f t="shared" si="288"/>
        <v>0</v>
      </c>
      <c r="AU1602" s="1">
        <f t="shared" si="289"/>
        <v>0</v>
      </c>
      <c r="AV1602" s="1">
        <f t="shared" si="290"/>
        <v>0</v>
      </c>
      <c r="AW1602" s="1">
        <f t="shared" si="291"/>
        <v>0</v>
      </c>
      <c r="AX1602" s="1">
        <f t="shared" si="292"/>
        <v>0</v>
      </c>
    </row>
    <row r="1603" spans="1:50" s="1" customFormat="1" ht="24.95" customHeight="1" outlineLevel="3" x14ac:dyDescent="0.2">
      <c r="A1603" s="26"/>
      <c r="B1603" s="28">
        <v>1390</v>
      </c>
      <c r="C1603" s="28">
        <v>1790</v>
      </c>
      <c r="D1603" s="27">
        <v>4725</v>
      </c>
      <c r="E1603" s="29" t="s">
        <v>453</v>
      </c>
      <c r="F1603" s="29" t="s">
        <v>5207</v>
      </c>
      <c r="G1603" s="29" t="s">
        <v>56</v>
      </c>
      <c r="H1603" s="29"/>
      <c r="I1603" s="27">
        <v>2024</v>
      </c>
      <c r="J1603" s="29" t="s">
        <v>5208</v>
      </c>
      <c r="K1603" s="27">
        <v>9785961471243</v>
      </c>
      <c r="L1603" s="29" t="s">
        <v>5209</v>
      </c>
      <c r="M1603" s="27">
        <v>438</v>
      </c>
      <c r="N1603" s="30">
        <v>0.83</v>
      </c>
      <c r="O1603" s="27">
        <v>170</v>
      </c>
      <c r="P1603" s="27">
        <v>241</v>
      </c>
      <c r="Q1603" s="27">
        <v>5</v>
      </c>
      <c r="R1603" s="29" t="s">
        <v>94</v>
      </c>
      <c r="S1603" s="29"/>
      <c r="T1603" s="28">
        <v>1000</v>
      </c>
      <c r="U1603" s="29" t="s">
        <v>52</v>
      </c>
      <c r="V1603" s="29" t="s">
        <v>64</v>
      </c>
      <c r="W1603" s="27">
        <v>10</v>
      </c>
      <c r="X1603" s="37" t="str">
        <f>HYPERLINK("https://www.alpinabook.ru/catalog/book-optsiony-polnyi-kurs","ссылка на книгу")</f>
        <v>ссылка на книгу</v>
      </c>
      <c r="Y1603" s="38" t="str">
        <f>HYPERLINK("https://api-enni.alpina.ru/FilePrivilegesApproval/141","https://api-enni.alpina.ru/FilePrivilegesApproval/141")</f>
        <v>https://api-enni.alpina.ru/FilePrivilegesApproval/141</v>
      </c>
      <c r="Z1603" s="29"/>
      <c r="AT1603" s="1">
        <f t="shared" si="288"/>
        <v>0</v>
      </c>
      <c r="AU1603" s="1">
        <f t="shared" si="289"/>
        <v>0</v>
      </c>
      <c r="AV1603" s="1">
        <f t="shared" si="290"/>
        <v>0</v>
      </c>
      <c r="AW1603" s="1">
        <f t="shared" si="291"/>
        <v>0</v>
      </c>
      <c r="AX1603" s="1">
        <f t="shared" si="292"/>
        <v>0</v>
      </c>
    </row>
    <row r="1604" spans="1:50" s="1" customFormat="1" ht="24.95" customHeight="1" outlineLevel="3" x14ac:dyDescent="0.2">
      <c r="A1604" s="11"/>
      <c r="B1604" s="12">
        <v>890</v>
      </c>
      <c r="C1604" s="15">
        <v>1290</v>
      </c>
      <c r="D1604" s="12">
        <v>5182</v>
      </c>
      <c r="E1604" s="13" t="s">
        <v>5210</v>
      </c>
      <c r="F1604" s="13" t="s">
        <v>5211</v>
      </c>
      <c r="G1604" s="13" t="s">
        <v>56</v>
      </c>
      <c r="H1604" s="13" t="s">
        <v>40</v>
      </c>
      <c r="I1604" s="12">
        <v>2021</v>
      </c>
      <c r="J1604" s="13" t="s">
        <v>5212</v>
      </c>
      <c r="K1604" s="12">
        <v>9785961471410</v>
      </c>
      <c r="L1604" s="13" t="s">
        <v>5213</v>
      </c>
      <c r="M1604" s="12">
        <v>376</v>
      </c>
      <c r="N1604" s="14">
        <v>0.71</v>
      </c>
      <c r="O1604" s="12">
        <v>168</v>
      </c>
      <c r="P1604" s="12">
        <v>241</v>
      </c>
      <c r="Q1604" s="12">
        <v>6</v>
      </c>
      <c r="R1604" s="13" t="s">
        <v>94</v>
      </c>
      <c r="S1604" s="13"/>
      <c r="T1604" s="15">
        <v>20000</v>
      </c>
      <c r="U1604" s="13" t="s">
        <v>52</v>
      </c>
      <c r="V1604" s="13" t="s">
        <v>64</v>
      </c>
      <c r="W1604" s="12">
        <v>10</v>
      </c>
      <c r="X1604" s="33" t="str">
        <f>HYPERLINK("https://www.alpinabook.ru/catalog/book-pravila-investirovaniya-uorrena-baffetta","ссылка на книгу")</f>
        <v>ссылка на книгу</v>
      </c>
      <c r="Y1604" s="34" t="str">
        <f>HYPERLINK("https://api-enni.alpina.ru/FilePrivilegesApproval/2","https://api-enni.alpina.ru/FilePrivilegesApproval/2")</f>
        <v>https://api-enni.alpina.ru/FilePrivilegesApproval/2</v>
      </c>
      <c r="Z1604" s="13"/>
      <c r="AT1604" s="1">
        <f t="shared" si="288"/>
        <v>0</v>
      </c>
      <c r="AU1604" s="1">
        <f t="shared" si="289"/>
        <v>0</v>
      </c>
      <c r="AV1604" s="1">
        <f t="shared" si="290"/>
        <v>0</v>
      </c>
      <c r="AW1604" s="1">
        <f t="shared" si="291"/>
        <v>0</v>
      </c>
      <c r="AX1604" s="1">
        <f t="shared" si="292"/>
        <v>0</v>
      </c>
    </row>
    <row r="1605" spans="1:50" s="1" customFormat="1" ht="24.95" customHeight="1" outlineLevel="3" x14ac:dyDescent="0.2">
      <c r="A1605" s="11"/>
      <c r="B1605" s="12">
        <v>890</v>
      </c>
      <c r="C1605" s="12">
        <v>890</v>
      </c>
      <c r="D1605" s="12">
        <v>23718</v>
      </c>
      <c r="E1605" s="13" t="s">
        <v>5214</v>
      </c>
      <c r="F1605" s="13" t="s">
        <v>5215</v>
      </c>
      <c r="G1605" s="13" t="s">
        <v>97</v>
      </c>
      <c r="H1605" s="13" t="s">
        <v>40</v>
      </c>
      <c r="I1605" s="12">
        <v>2021</v>
      </c>
      <c r="J1605" s="13" t="s">
        <v>5216</v>
      </c>
      <c r="K1605" s="12">
        <v>9785907470217</v>
      </c>
      <c r="L1605" s="13" t="s">
        <v>5217</v>
      </c>
      <c r="M1605" s="12">
        <v>192</v>
      </c>
      <c r="N1605" s="14">
        <v>0.33</v>
      </c>
      <c r="O1605" s="12">
        <v>146</v>
      </c>
      <c r="P1605" s="12">
        <v>216</v>
      </c>
      <c r="Q1605" s="12">
        <v>14</v>
      </c>
      <c r="R1605" s="13" t="s">
        <v>43</v>
      </c>
      <c r="S1605" s="13"/>
      <c r="T1605" s="15">
        <v>2000</v>
      </c>
      <c r="U1605" s="13" t="s">
        <v>52</v>
      </c>
      <c r="V1605" s="13" t="s">
        <v>59</v>
      </c>
      <c r="W1605" s="12">
        <v>10</v>
      </c>
      <c r="X1605" s="33" t="str">
        <f>HYPERLINK("https://www.alpinabook.ru/catalog/book-printsipy-shveytsarskikh-finansistov","ссылка на книгу")</f>
        <v>ссылка на книгу</v>
      </c>
      <c r="Y1605" s="34" t="str">
        <f>HYPERLINK("https://api-enni.alpina.ru/FilePrivilegesApproval/154","https://api-enni.alpina.ru/FilePrivilegesApproval/154")</f>
        <v>https://api-enni.alpina.ru/FilePrivilegesApproval/154</v>
      </c>
      <c r="Z1605" s="13"/>
      <c r="AT1605" s="1">
        <f t="shared" ref="AT1605:AT1625" si="293">IF($A1605&lt;&gt;0,1,0)</f>
        <v>0</v>
      </c>
      <c r="AU1605" s="1">
        <f t="shared" ref="AU1605:AU1625" si="294">$A1605*$B1605</f>
        <v>0</v>
      </c>
      <c r="AV1605" s="1">
        <f t="shared" ref="AV1605:AV1625" si="295">$A1605*$N1605</f>
        <v>0</v>
      </c>
      <c r="AW1605" s="1">
        <f t="shared" ref="AW1605:AW1625" si="296">IF($Q1605=0,0,INT($A1605/$Q1605))</f>
        <v>0</v>
      </c>
      <c r="AX1605" s="1">
        <f t="shared" ref="AX1605:AX1625" si="297">$A1605-$AW1605*$Q1605</f>
        <v>0</v>
      </c>
    </row>
    <row r="1606" spans="1:50" s="1" customFormat="1" ht="24.95" customHeight="1" outlineLevel="3" x14ac:dyDescent="0.2">
      <c r="A1606" s="11"/>
      <c r="B1606" s="12">
        <v>690</v>
      </c>
      <c r="C1606" s="12">
        <v>990</v>
      </c>
      <c r="D1606" s="12">
        <v>20869</v>
      </c>
      <c r="E1606" s="13" t="s">
        <v>5218</v>
      </c>
      <c r="F1606" s="13" t="s">
        <v>5219</v>
      </c>
      <c r="G1606" s="13" t="s">
        <v>56</v>
      </c>
      <c r="H1606" s="13" t="s">
        <v>40</v>
      </c>
      <c r="I1606" s="12">
        <v>2022</v>
      </c>
      <c r="J1606" s="13" t="s">
        <v>5220</v>
      </c>
      <c r="K1606" s="12">
        <v>9785961441451</v>
      </c>
      <c r="L1606" s="13" t="s">
        <v>5221</v>
      </c>
      <c r="M1606" s="12">
        <v>208</v>
      </c>
      <c r="N1606" s="14">
        <v>0.34</v>
      </c>
      <c r="O1606" s="12">
        <v>146</v>
      </c>
      <c r="P1606" s="12">
        <v>216</v>
      </c>
      <c r="Q1606" s="12">
        <v>16</v>
      </c>
      <c r="R1606" s="13" t="s">
        <v>43</v>
      </c>
      <c r="S1606" s="13"/>
      <c r="T1606" s="15">
        <v>4000</v>
      </c>
      <c r="U1606" s="13" t="s">
        <v>52</v>
      </c>
      <c r="V1606" s="13" t="s">
        <v>59</v>
      </c>
      <c r="W1606" s="12">
        <v>10</v>
      </c>
      <c r="X1606" s="33" t="str">
        <f>HYPERLINK("https://www.alpinabook.ru/catalog/book-psikhologiya-investirovaniya-kak-perestat","ссылка на книгу")</f>
        <v>ссылка на книгу</v>
      </c>
      <c r="Y1606" s="34" t="str">
        <f>HYPERLINK("https://api-enni.alpina.ru/FilePrivilegesApproval/128","https://api-enni.alpina.ru/FilePrivilegesApproval/128")</f>
        <v>https://api-enni.alpina.ru/FilePrivilegesApproval/128</v>
      </c>
      <c r="Z1606" s="13"/>
      <c r="AT1606" s="1">
        <f t="shared" si="293"/>
        <v>0</v>
      </c>
      <c r="AU1606" s="1">
        <f t="shared" si="294"/>
        <v>0</v>
      </c>
      <c r="AV1606" s="1">
        <f t="shared" si="295"/>
        <v>0</v>
      </c>
      <c r="AW1606" s="1">
        <f t="shared" si="296"/>
        <v>0</v>
      </c>
      <c r="AX1606" s="1">
        <f t="shared" si="297"/>
        <v>0</v>
      </c>
    </row>
    <row r="1607" spans="1:50" s="1" customFormat="1" ht="24.95" customHeight="1" outlineLevel="3" x14ac:dyDescent="0.2">
      <c r="A1607" s="11"/>
      <c r="B1607" s="12">
        <v>990</v>
      </c>
      <c r="C1607" s="15">
        <v>1490</v>
      </c>
      <c r="D1607" s="12">
        <v>7945</v>
      </c>
      <c r="E1607" s="13" t="s">
        <v>5222</v>
      </c>
      <c r="F1607" s="13" t="s">
        <v>5223</v>
      </c>
      <c r="G1607" s="13" t="s">
        <v>97</v>
      </c>
      <c r="H1607" s="13" t="s">
        <v>40</v>
      </c>
      <c r="I1607" s="12">
        <v>2024</v>
      </c>
      <c r="J1607" s="13" t="s">
        <v>5224</v>
      </c>
      <c r="K1607" s="12">
        <v>9785907274143</v>
      </c>
      <c r="L1607" s="13" t="s">
        <v>5225</v>
      </c>
      <c r="M1607" s="12">
        <v>364</v>
      </c>
      <c r="N1607" s="14">
        <v>0.7</v>
      </c>
      <c r="O1607" s="12">
        <v>168</v>
      </c>
      <c r="P1607" s="12">
        <v>241</v>
      </c>
      <c r="Q1607" s="12">
        <v>5</v>
      </c>
      <c r="R1607" s="13" t="s">
        <v>94</v>
      </c>
      <c r="S1607" s="13"/>
      <c r="T1607" s="15">
        <v>1500</v>
      </c>
      <c r="U1607" s="13" t="s">
        <v>52</v>
      </c>
      <c r="V1607" s="13" t="s">
        <v>64</v>
      </c>
      <c r="W1607" s="12">
        <v>10</v>
      </c>
      <c r="X1607" s="33" t="str">
        <f>HYPERLINK("https://www.alpinabook.ru/catalog/book-psikhologiya-treydinga","ссылка на книгу")</f>
        <v>ссылка на книгу</v>
      </c>
      <c r="Y1607" s="34" t="str">
        <f>HYPERLINK("https://api-enni.alpina.ru/FilePrivilegesApproval/154","https://api-enni.alpina.ru/FilePrivilegesApproval/154")</f>
        <v>https://api-enni.alpina.ru/FilePrivilegesApproval/154</v>
      </c>
      <c r="Z1607" s="13" t="s">
        <v>1254</v>
      </c>
      <c r="AT1607" s="1">
        <f t="shared" si="293"/>
        <v>0</v>
      </c>
      <c r="AU1607" s="1">
        <f t="shared" si="294"/>
        <v>0</v>
      </c>
      <c r="AV1607" s="1">
        <f t="shared" si="295"/>
        <v>0</v>
      </c>
      <c r="AW1607" s="1">
        <f t="shared" si="296"/>
        <v>0</v>
      </c>
      <c r="AX1607" s="1">
        <f t="shared" si="297"/>
        <v>0</v>
      </c>
    </row>
    <row r="1608" spans="1:50" s="1" customFormat="1" ht="24.95" customHeight="1" outlineLevel="3" x14ac:dyDescent="0.2">
      <c r="A1608" s="11"/>
      <c r="B1608" s="15">
        <v>1190</v>
      </c>
      <c r="C1608" s="15">
        <v>1190</v>
      </c>
      <c r="D1608" s="12">
        <v>22662</v>
      </c>
      <c r="E1608" s="13" t="s">
        <v>5226</v>
      </c>
      <c r="F1608" s="13" t="s">
        <v>5227</v>
      </c>
      <c r="G1608" s="13" t="s">
        <v>56</v>
      </c>
      <c r="H1608" s="13" t="s">
        <v>40</v>
      </c>
      <c r="I1608" s="12">
        <v>2022</v>
      </c>
      <c r="J1608" s="13" t="s">
        <v>5228</v>
      </c>
      <c r="K1608" s="12">
        <v>9785961474060</v>
      </c>
      <c r="L1608" s="13" t="s">
        <v>5229</v>
      </c>
      <c r="M1608" s="12">
        <v>376</v>
      </c>
      <c r="N1608" s="14">
        <v>0.54</v>
      </c>
      <c r="O1608" s="12">
        <v>146</v>
      </c>
      <c r="P1608" s="12">
        <v>216</v>
      </c>
      <c r="Q1608" s="12">
        <v>10</v>
      </c>
      <c r="R1608" s="13" t="s">
        <v>43</v>
      </c>
      <c r="S1608" s="13"/>
      <c r="T1608" s="15">
        <v>3000</v>
      </c>
      <c r="U1608" s="13" t="s">
        <v>52</v>
      </c>
      <c r="V1608" s="13" t="s">
        <v>59</v>
      </c>
      <c r="W1608" s="12">
        <v>10</v>
      </c>
      <c r="X1608" s="33" t="str">
        <f>HYPERLINK("https://www.alpinabook.ru/catalog/book-rukovodstvo-po-deytreydingu","ссылка на книгу")</f>
        <v>ссылка на книгу</v>
      </c>
      <c r="Y1608" s="34" t="str">
        <f>HYPERLINK("https://api-enni.alpina.ru/FilePrivilegesApproval/122","https://api-enni.alpina.ru/FilePrivilegesApproval/122")</f>
        <v>https://api-enni.alpina.ru/FilePrivilegesApproval/122</v>
      </c>
      <c r="Z1608" s="13"/>
      <c r="AT1608" s="1">
        <f t="shared" si="293"/>
        <v>0</v>
      </c>
      <c r="AU1608" s="1">
        <f t="shared" si="294"/>
        <v>0</v>
      </c>
      <c r="AV1608" s="1">
        <f t="shared" si="295"/>
        <v>0</v>
      </c>
      <c r="AW1608" s="1">
        <f t="shared" si="296"/>
        <v>0</v>
      </c>
      <c r="AX1608" s="1">
        <f t="shared" si="297"/>
        <v>0</v>
      </c>
    </row>
    <row r="1609" spans="1:50" s="1" customFormat="1" ht="24.95" customHeight="1" outlineLevel="3" x14ac:dyDescent="0.2">
      <c r="A1609" s="11"/>
      <c r="B1609" s="12">
        <v>740</v>
      </c>
      <c r="C1609" s="15">
        <v>1090</v>
      </c>
      <c r="D1609" s="12">
        <v>18900</v>
      </c>
      <c r="E1609" s="13" t="s">
        <v>5199</v>
      </c>
      <c r="F1609" s="13" t="s">
        <v>5230</v>
      </c>
      <c r="G1609" s="13" t="s">
        <v>56</v>
      </c>
      <c r="H1609" s="13" t="s">
        <v>40</v>
      </c>
      <c r="I1609" s="12">
        <v>2025</v>
      </c>
      <c r="J1609" s="13" t="s">
        <v>5231</v>
      </c>
      <c r="K1609" s="12">
        <v>9785961471854</v>
      </c>
      <c r="L1609" s="13" t="s">
        <v>5232</v>
      </c>
      <c r="M1609" s="12">
        <v>254</v>
      </c>
      <c r="N1609" s="14">
        <v>0.35</v>
      </c>
      <c r="O1609" s="12">
        <v>150</v>
      </c>
      <c r="P1609" s="12">
        <v>220</v>
      </c>
      <c r="Q1609" s="12">
        <v>6</v>
      </c>
      <c r="R1609" s="13" t="s">
        <v>43</v>
      </c>
      <c r="S1609" s="13"/>
      <c r="T1609" s="15">
        <v>1000</v>
      </c>
      <c r="U1609" s="13" t="s">
        <v>52</v>
      </c>
      <c r="V1609" s="13" t="s">
        <v>64</v>
      </c>
      <c r="W1609" s="12">
        <v>10</v>
      </c>
      <c r="X1609" s="33" t="str">
        <f>HYPERLINK("https://www.alpinabook.ru/catalog/book-rukovodstvo-razumnogo-investora","ссылка на книгу")</f>
        <v>ссылка на книгу</v>
      </c>
      <c r="Y1609" s="34" t="str">
        <f>HYPERLINK("https://api-enni.alpina.ru/FilePrivilegesApproval/125","https://api-enni.alpina.ru/FilePrivilegesApproval/125")</f>
        <v>https://api-enni.alpina.ru/FilePrivilegesApproval/125</v>
      </c>
      <c r="Z1609" s="13" t="s">
        <v>431</v>
      </c>
      <c r="AT1609" s="1">
        <f t="shared" si="293"/>
        <v>0</v>
      </c>
      <c r="AU1609" s="1">
        <f t="shared" si="294"/>
        <v>0</v>
      </c>
      <c r="AV1609" s="1">
        <f t="shared" si="295"/>
        <v>0</v>
      </c>
      <c r="AW1609" s="1">
        <f t="shared" si="296"/>
        <v>0</v>
      </c>
      <c r="AX1609" s="1">
        <f t="shared" si="297"/>
        <v>0</v>
      </c>
    </row>
    <row r="1610" spans="1:50" s="1" customFormat="1" ht="24.95" customHeight="1" outlineLevel="3" x14ac:dyDescent="0.2">
      <c r="A1610" s="11"/>
      <c r="B1610" s="15">
        <v>1890</v>
      </c>
      <c r="C1610" s="15">
        <v>2390</v>
      </c>
      <c r="D1610" s="12">
        <v>668</v>
      </c>
      <c r="E1610" s="13" t="s">
        <v>5233</v>
      </c>
      <c r="F1610" s="13" t="s">
        <v>5234</v>
      </c>
      <c r="G1610" s="13" t="s">
        <v>56</v>
      </c>
      <c r="H1610" s="13" t="s">
        <v>40</v>
      </c>
      <c r="I1610" s="12">
        <v>2024</v>
      </c>
      <c r="J1610" s="13" t="s">
        <v>5235</v>
      </c>
      <c r="K1610" s="12">
        <v>9785961454420</v>
      </c>
      <c r="L1610" s="13" t="s">
        <v>5236</v>
      </c>
      <c r="M1610" s="15">
        <v>1200</v>
      </c>
      <c r="N1610" s="14">
        <v>1.65</v>
      </c>
      <c r="O1610" s="12">
        <v>168</v>
      </c>
      <c r="P1610" s="12">
        <v>240</v>
      </c>
      <c r="Q1610" s="12">
        <v>3</v>
      </c>
      <c r="R1610" s="13" t="s">
        <v>94</v>
      </c>
      <c r="S1610" s="13"/>
      <c r="T1610" s="15">
        <v>1500</v>
      </c>
      <c r="U1610" s="13" t="s">
        <v>52</v>
      </c>
      <c r="V1610" s="13" t="s">
        <v>64</v>
      </c>
      <c r="W1610" s="12">
        <v>10</v>
      </c>
      <c r="X1610" s="33" t="str">
        <f>HYPERLINK("https://www.alpinabook.ru/catalog/book-rynok-obligatsiy","ссылка на книгу")</f>
        <v>ссылка на книгу</v>
      </c>
      <c r="Y1610" s="34" t="str">
        <f>HYPERLINK("https://api-enni.alpina.ru/FilePrivilegesApproval/2","https://api-enni.alpina.ru/FilePrivilegesApproval/2")</f>
        <v>https://api-enni.alpina.ru/FilePrivilegesApproval/2</v>
      </c>
      <c r="Z1610" s="13"/>
      <c r="AT1610" s="1">
        <f t="shared" si="293"/>
        <v>0</v>
      </c>
      <c r="AU1610" s="1">
        <f t="shared" si="294"/>
        <v>0</v>
      </c>
      <c r="AV1610" s="1">
        <f t="shared" si="295"/>
        <v>0</v>
      </c>
      <c r="AW1610" s="1">
        <f t="shared" si="296"/>
        <v>0</v>
      </c>
      <c r="AX1610" s="1">
        <f t="shared" si="297"/>
        <v>0</v>
      </c>
    </row>
    <row r="1611" spans="1:50" s="1" customFormat="1" ht="24.95" customHeight="1" outlineLevel="3" x14ac:dyDescent="0.2">
      <c r="A1611" s="11"/>
      <c r="B1611" s="15">
        <v>1040</v>
      </c>
      <c r="C1611" s="15">
        <v>1490</v>
      </c>
      <c r="D1611" s="12">
        <v>11868</v>
      </c>
      <c r="E1611" s="13" t="s">
        <v>5237</v>
      </c>
      <c r="F1611" s="13" t="s">
        <v>5238</v>
      </c>
      <c r="G1611" s="13" t="s">
        <v>97</v>
      </c>
      <c r="H1611" s="13" t="s">
        <v>40</v>
      </c>
      <c r="I1611" s="12">
        <v>2024</v>
      </c>
      <c r="J1611" s="13" t="s">
        <v>5239</v>
      </c>
      <c r="K1611" s="12">
        <v>9785604288146</v>
      </c>
      <c r="L1611" s="13" t="s">
        <v>5240</v>
      </c>
      <c r="M1611" s="12">
        <v>266</v>
      </c>
      <c r="N1611" s="14">
        <v>0.55000000000000004</v>
      </c>
      <c r="O1611" s="12">
        <v>168</v>
      </c>
      <c r="P1611" s="12">
        <v>241</v>
      </c>
      <c r="Q1611" s="12">
        <v>5</v>
      </c>
      <c r="R1611" s="13" t="s">
        <v>94</v>
      </c>
      <c r="S1611" s="13"/>
      <c r="T1611" s="15">
        <v>1000</v>
      </c>
      <c r="U1611" s="13" t="s">
        <v>52</v>
      </c>
      <c r="V1611" s="13" t="s">
        <v>59</v>
      </c>
      <c r="W1611" s="12">
        <v>10</v>
      </c>
      <c r="X1611" s="33" t="str">
        <f>HYPERLINK("https://www.alpinabook.ru/catalog/book-rynochnye-tsikly","ссылка на книгу")</f>
        <v>ссылка на книгу</v>
      </c>
      <c r="Y1611" s="34" t="str">
        <f>HYPERLINK("https://api-enni.alpina.ru/FilePrivilegesApproval/400","https://api-enni.alpina.ru/FilePrivilegesApproval/400")</f>
        <v>https://api-enni.alpina.ru/FilePrivilegesApproval/400</v>
      </c>
      <c r="Z1611" s="13" t="s">
        <v>567</v>
      </c>
      <c r="AT1611" s="1">
        <f t="shared" si="293"/>
        <v>0</v>
      </c>
      <c r="AU1611" s="1">
        <f t="shared" si="294"/>
        <v>0</v>
      </c>
      <c r="AV1611" s="1">
        <f t="shared" si="295"/>
        <v>0</v>
      </c>
      <c r="AW1611" s="1">
        <f t="shared" si="296"/>
        <v>0</v>
      </c>
      <c r="AX1611" s="1">
        <f t="shared" si="297"/>
        <v>0</v>
      </c>
    </row>
    <row r="1612" spans="1:50" s="1" customFormat="1" ht="24.95" customHeight="1" outlineLevel="3" x14ac:dyDescent="0.2">
      <c r="A1612" s="11"/>
      <c r="B1612" s="15">
        <v>1090</v>
      </c>
      <c r="C1612" s="15">
        <v>1590</v>
      </c>
      <c r="D1612" s="12">
        <v>6117</v>
      </c>
      <c r="E1612" s="13" t="s">
        <v>5222</v>
      </c>
      <c r="F1612" s="13" t="s">
        <v>5241</v>
      </c>
      <c r="G1612" s="13" t="s">
        <v>97</v>
      </c>
      <c r="H1612" s="13" t="s">
        <v>40</v>
      </c>
      <c r="I1612" s="12">
        <v>2025</v>
      </c>
      <c r="J1612" s="13" t="s">
        <v>5242</v>
      </c>
      <c r="K1612" s="12">
        <v>9785604288030</v>
      </c>
      <c r="L1612" s="13" t="s">
        <v>5243</v>
      </c>
      <c r="M1612" s="12">
        <v>326</v>
      </c>
      <c r="N1612" s="14">
        <v>0.63</v>
      </c>
      <c r="O1612" s="12">
        <v>171</v>
      </c>
      <c r="P1612" s="12">
        <v>241</v>
      </c>
      <c r="Q1612" s="12">
        <v>5</v>
      </c>
      <c r="R1612" s="13" t="s">
        <v>94</v>
      </c>
      <c r="S1612" s="13"/>
      <c r="T1612" s="15">
        <v>1000</v>
      </c>
      <c r="U1612" s="13" t="s">
        <v>52</v>
      </c>
      <c r="V1612" s="13" t="s">
        <v>64</v>
      </c>
      <c r="W1612" s="12">
        <v>10</v>
      </c>
      <c r="X1612" s="33" t="str">
        <f>HYPERLINK("https://www.alpinabook.ru/catalog/book-samouchitel-treydera","ссылка на книгу")</f>
        <v>ссылка на книгу</v>
      </c>
      <c r="Y1612" s="34" t="str">
        <f>HYPERLINK("https://api-enni.alpina.ru/FilePrivilegesApproval/2","https://api-enni.alpina.ru/FilePrivilegesApproval/2")</f>
        <v>https://api-enni.alpina.ru/FilePrivilegesApproval/2</v>
      </c>
      <c r="Z1612" s="13" t="s">
        <v>173</v>
      </c>
      <c r="AT1612" s="1">
        <f t="shared" si="293"/>
        <v>0</v>
      </c>
      <c r="AU1612" s="1">
        <f t="shared" si="294"/>
        <v>0</v>
      </c>
      <c r="AV1612" s="1">
        <f t="shared" si="295"/>
        <v>0</v>
      </c>
      <c r="AW1612" s="1">
        <f t="shared" si="296"/>
        <v>0</v>
      </c>
      <c r="AX1612" s="1">
        <f t="shared" si="297"/>
        <v>0</v>
      </c>
    </row>
    <row r="1613" spans="1:50" s="1" customFormat="1" ht="24.95" customHeight="1" outlineLevel="3" x14ac:dyDescent="0.2">
      <c r="A1613" s="11"/>
      <c r="B1613" s="12">
        <v>390</v>
      </c>
      <c r="C1613" s="12">
        <v>640</v>
      </c>
      <c r="D1613" s="12">
        <v>8622</v>
      </c>
      <c r="E1613" s="13" t="s">
        <v>699</v>
      </c>
      <c r="F1613" s="13" t="s">
        <v>700</v>
      </c>
      <c r="G1613" s="13" t="s">
        <v>56</v>
      </c>
      <c r="H1613" s="13" t="s">
        <v>40</v>
      </c>
      <c r="I1613" s="12">
        <v>2025</v>
      </c>
      <c r="J1613" s="13" t="s">
        <v>701</v>
      </c>
      <c r="K1613" s="12">
        <v>9785961468625</v>
      </c>
      <c r="L1613" s="13" t="s">
        <v>702</v>
      </c>
      <c r="M1613" s="12">
        <v>96</v>
      </c>
      <c r="N1613" s="14">
        <v>0.2</v>
      </c>
      <c r="O1613" s="12">
        <v>130</v>
      </c>
      <c r="P1613" s="12">
        <v>206</v>
      </c>
      <c r="Q1613" s="12">
        <v>10</v>
      </c>
      <c r="R1613" s="13" t="s">
        <v>82</v>
      </c>
      <c r="S1613" s="13"/>
      <c r="T1613" s="15">
        <v>1000</v>
      </c>
      <c r="U1613" s="13" t="s">
        <v>52</v>
      </c>
      <c r="V1613" s="13" t="s">
        <v>64</v>
      </c>
      <c r="W1613" s="12">
        <v>10</v>
      </c>
      <c r="X1613" s="33" t="str">
        <f>HYPERLINK("https://www.alpinabook.ru/catalog/book-samyy-silnyy-signal-v-tekhnicheskom-analize","ссылка на книгу")</f>
        <v>ссылка на книгу</v>
      </c>
      <c r="Y1613" s="34" t="str">
        <f>HYPERLINK("https://api-enni.alpina.ru/FilePrivilegesApproval/2","https://api-enni.alpina.ru/FilePrivilegesApproval/2")</f>
        <v>https://api-enni.alpina.ru/FilePrivilegesApproval/2</v>
      </c>
      <c r="Z1613" s="13" t="s">
        <v>77</v>
      </c>
      <c r="AT1613" s="1">
        <f t="shared" si="293"/>
        <v>0</v>
      </c>
      <c r="AU1613" s="1">
        <f t="shared" si="294"/>
        <v>0</v>
      </c>
      <c r="AV1613" s="1">
        <f t="shared" si="295"/>
        <v>0</v>
      </c>
      <c r="AW1613" s="1">
        <f t="shared" si="296"/>
        <v>0</v>
      </c>
      <c r="AX1613" s="1">
        <f t="shared" si="297"/>
        <v>0</v>
      </c>
    </row>
    <row r="1614" spans="1:50" s="1" customFormat="1" ht="24.95" customHeight="1" outlineLevel="3" x14ac:dyDescent="0.2">
      <c r="A1614" s="26"/>
      <c r="B1614" s="27">
        <v>840</v>
      </c>
      <c r="C1614" s="28">
        <v>1290</v>
      </c>
      <c r="D1614" s="27">
        <v>5500</v>
      </c>
      <c r="E1614" s="29" t="s">
        <v>5244</v>
      </c>
      <c r="F1614" s="29" t="s">
        <v>5245</v>
      </c>
      <c r="G1614" s="29" t="s">
        <v>97</v>
      </c>
      <c r="H1614" s="29" t="s">
        <v>40</v>
      </c>
      <c r="I1614" s="27">
        <v>2024</v>
      </c>
      <c r="J1614" s="29" t="s">
        <v>5246</v>
      </c>
      <c r="K1614" s="27">
        <v>9785907274044</v>
      </c>
      <c r="L1614" s="29" t="s">
        <v>5247</v>
      </c>
      <c r="M1614" s="27">
        <v>232</v>
      </c>
      <c r="N1614" s="30">
        <v>0.49</v>
      </c>
      <c r="O1614" s="27">
        <v>171</v>
      </c>
      <c r="P1614" s="27">
        <v>241</v>
      </c>
      <c r="Q1614" s="27">
        <v>7</v>
      </c>
      <c r="R1614" s="29" t="s">
        <v>94</v>
      </c>
      <c r="S1614" s="29"/>
      <c r="T1614" s="28">
        <v>1000</v>
      </c>
      <c r="U1614" s="29" t="s">
        <v>52</v>
      </c>
      <c r="V1614" s="29" t="s">
        <v>64</v>
      </c>
      <c r="W1614" s="27">
        <v>10</v>
      </c>
      <c r="X1614" s="37" t="str">
        <f>HYPERLINK("https://www.alpinabook.ru/catalog/book-sekrety-torgovli-na-fyuchersnom-rynke","ссылка на книгу")</f>
        <v>ссылка на книгу</v>
      </c>
      <c r="Y1614" s="38" t="str">
        <f>HYPERLINK("https://api-enni.alpina.ru/FilePrivilegesApproval/154","https://api-enni.alpina.ru/FilePrivilegesApproval/154")</f>
        <v>https://api-enni.alpina.ru/FilePrivilegesApproval/154</v>
      </c>
      <c r="Z1614" s="29"/>
      <c r="AT1614" s="1">
        <f t="shared" si="293"/>
        <v>0</v>
      </c>
      <c r="AU1614" s="1">
        <f t="shared" si="294"/>
        <v>0</v>
      </c>
      <c r="AV1614" s="1">
        <f t="shared" si="295"/>
        <v>0</v>
      </c>
      <c r="AW1614" s="1">
        <f t="shared" si="296"/>
        <v>0</v>
      </c>
      <c r="AX1614" s="1">
        <f t="shared" si="297"/>
        <v>0</v>
      </c>
    </row>
    <row r="1615" spans="1:50" s="1" customFormat="1" ht="24.95" customHeight="1" outlineLevel="3" x14ac:dyDescent="0.2">
      <c r="A1615" s="11"/>
      <c r="B1615" s="15">
        <v>3490</v>
      </c>
      <c r="C1615" s="15">
        <v>3990</v>
      </c>
      <c r="D1615" s="12">
        <v>23431</v>
      </c>
      <c r="E1615" s="13" t="s">
        <v>5248</v>
      </c>
      <c r="F1615" s="13" t="s">
        <v>5249</v>
      </c>
      <c r="G1615" s="13" t="s">
        <v>97</v>
      </c>
      <c r="H1615" s="13" t="s">
        <v>40</v>
      </c>
      <c r="I1615" s="12">
        <v>2024</v>
      </c>
      <c r="J1615" s="13" t="s">
        <v>5250</v>
      </c>
      <c r="K1615" s="12">
        <v>9785206000078</v>
      </c>
      <c r="L1615" s="13" t="s">
        <v>5251</v>
      </c>
      <c r="M1615" s="15">
        <v>1248</v>
      </c>
      <c r="N1615" s="14">
        <v>1.77</v>
      </c>
      <c r="O1615" s="12">
        <v>170</v>
      </c>
      <c r="P1615" s="12">
        <v>240</v>
      </c>
      <c r="Q1615" s="12">
        <v>2</v>
      </c>
      <c r="R1615" s="13" t="s">
        <v>94</v>
      </c>
      <c r="S1615" s="13"/>
      <c r="T1615" s="15">
        <v>1000</v>
      </c>
      <c r="U1615" s="13" t="s">
        <v>52</v>
      </c>
      <c r="V1615" s="13" t="s">
        <v>45</v>
      </c>
      <c r="W1615" s="12">
        <v>10</v>
      </c>
      <c r="X1615" s="33" t="str">
        <f>HYPERLINK("https://www.alpinabook.ru/catalog/book-sistemy-i-metody-birzhevoy-torgovli","ссылка на книгу")</f>
        <v>ссылка на книгу</v>
      </c>
      <c r="Y1615" s="34" t="str">
        <f>HYPERLINK("https://api-enni.alpina.ru/FilePrivilegesApproval/168","https://api-enni.alpina.ru/FilePrivilegesApproval/168")</f>
        <v>https://api-enni.alpina.ru/FilePrivilegesApproval/168</v>
      </c>
      <c r="Z1615" s="13"/>
      <c r="AT1615" s="1">
        <f t="shared" si="293"/>
        <v>0</v>
      </c>
      <c r="AU1615" s="1">
        <f t="shared" si="294"/>
        <v>0</v>
      </c>
      <c r="AV1615" s="1">
        <f t="shared" si="295"/>
        <v>0</v>
      </c>
      <c r="AW1615" s="1">
        <f t="shared" si="296"/>
        <v>0</v>
      </c>
      <c r="AX1615" s="1">
        <f t="shared" si="297"/>
        <v>0</v>
      </c>
    </row>
    <row r="1616" spans="1:50" s="1" customFormat="1" ht="24.95" customHeight="1" outlineLevel="3" x14ac:dyDescent="0.2">
      <c r="A1616" s="11"/>
      <c r="B1616" s="12">
        <v>690</v>
      </c>
      <c r="C1616" s="12">
        <v>690</v>
      </c>
      <c r="D1616" s="12">
        <v>23163</v>
      </c>
      <c r="E1616" s="13" t="s">
        <v>5167</v>
      </c>
      <c r="F1616" s="13" t="s">
        <v>5252</v>
      </c>
      <c r="G1616" s="13" t="s">
        <v>56</v>
      </c>
      <c r="H1616" s="13"/>
      <c r="I1616" s="12">
        <v>2021</v>
      </c>
      <c r="J1616" s="13" t="s">
        <v>5253</v>
      </c>
      <c r="K1616" s="12">
        <v>9785961474312</v>
      </c>
      <c r="L1616" s="13" t="s">
        <v>5254</v>
      </c>
      <c r="M1616" s="12">
        <v>179</v>
      </c>
      <c r="N1616" s="14">
        <v>0.32</v>
      </c>
      <c r="O1616" s="12">
        <v>146</v>
      </c>
      <c r="P1616" s="12">
        <v>216</v>
      </c>
      <c r="Q1616" s="12">
        <v>16</v>
      </c>
      <c r="R1616" s="13" t="s">
        <v>43</v>
      </c>
      <c r="S1616" s="13"/>
      <c r="T1616" s="15">
        <v>2000</v>
      </c>
      <c r="U1616" s="13" t="s">
        <v>52</v>
      </c>
      <c r="V1616" s="13" t="s">
        <v>64</v>
      </c>
      <c r="W1616" s="12">
        <v>10</v>
      </c>
      <c r="X1616" s="33" t="str">
        <f>HYPERLINK("https://www.alpinabook.ru/catalog/book-stoimostnoe-investirovanie","ссылка на книгу")</f>
        <v>ссылка на книгу</v>
      </c>
      <c r="Y1616" s="34" t="str">
        <f>HYPERLINK("https://api-enni.alpina.ru/FilePrivilegesApproval/121","https://api-enni.alpina.ru/FilePrivilegesApproval/121")</f>
        <v>https://api-enni.alpina.ru/FilePrivilegesApproval/121</v>
      </c>
      <c r="Z1616" s="13"/>
      <c r="AT1616" s="1">
        <f t="shared" si="293"/>
        <v>0</v>
      </c>
      <c r="AU1616" s="1">
        <f t="shared" si="294"/>
        <v>0</v>
      </c>
      <c r="AV1616" s="1">
        <f t="shared" si="295"/>
        <v>0</v>
      </c>
      <c r="AW1616" s="1">
        <f t="shared" si="296"/>
        <v>0</v>
      </c>
      <c r="AX1616" s="1">
        <f t="shared" si="297"/>
        <v>0</v>
      </c>
    </row>
    <row r="1617" spans="1:50" s="1" customFormat="1" ht="24.95" customHeight="1" outlineLevel="3" x14ac:dyDescent="0.2">
      <c r="A1617" s="11"/>
      <c r="B1617" s="15">
        <v>1990</v>
      </c>
      <c r="C1617" s="15">
        <v>2490</v>
      </c>
      <c r="D1617" s="12">
        <v>5277</v>
      </c>
      <c r="E1617" s="13" t="s">
        <v>5127</v>
      </c>
      <c r="F1617" s="13" t="s">
        <v>5255</v>
      </c>
      <c r="G1617" s="13" t="s">
        <v>56</v>
      </c>
      <c r="H1617" s="13" t="s">
        <v>40</v>
      </c>
      <c r="I1617" s="12">
        <v>2025</v>
      </c>
      <c r="J1617" s="13" t="s">
        <v>5256</v>
      </c>
      <c r="K1617" s="12">
        <v>9785961467710</v>
      </c>
      <c r="L1617" s="13" t="s">
        <v>5257</v>
      </c>
      <c r="M1617" s="12">
        <v>610</v>
      </c>
      <c r="N1617" s="14">
        <v>0.8</v>
      </c>
      <c r="O1617" s="12">
        <v>168</v>
      </c>
      <c r="P1617" s="12">
        <v>220</v>
      </c>
      <c r="Q1617" s="12">
        <v>4</v>
      </c>
      <c r="R1617" s="13" t="s">
        <v>94</v>
      </c>
      <c r="S1617" s="13"/>
      <c r="T1617" s="15">
        <v>1500</v>
      </c>
      <c r="U1617" s="13" t="s">
        <v>52</v>
      </c>
      <c r="V1617" s="13" t="s">
        <v>64</v>
      </c>
      <c r="W1617" s="12">
        <v>10</v>
      </c>
      <c r="X1617" s="33" t="str">
        <f>HYPERLINK("https://www.alpinabook.ru/catalog/book-tekhnicheskiy-analiz-fyuchersnykh-rynkov","ссылка на книгу")</f>
        <v>ссылка на книгу</v>
      </c>
      <c r="Y1617" s="34" t="str">
        <f>HYPERLINK("https://api-enni.alpina.ru/FilePrivilegesApproval/141","https://api-enni.alpina.ru/FilePrivilegesApproval/141")</f>
        <v>https://api-enni.alpina.ru/FilePrivilegesApproval/141</v>
      </c>
      <c r="Z1617" s="13"/>
      <c r="AT1617" s="1">
        <f t="shared" si="293"/>
        <v>0</v>
      </c>
      <c r="AU1617" s="1">
        <f t="shared" si="294"/>
        <v>0</v>
      </c>
      <c r="AV1617" s="1">
        <f t="shared" si="295"/>
        <v>0</v>
      </c>
      <c r="AW1617" s="1">
        <f t="shared" si="296"/>
        <v>0</v>
      </c>
      <c r="AX1617" s="1">
        <f t="shared" si="297"/>
        <v>0</v>
      </c>
    </row>
    <row r="1618" spans="1:50" s="1" customFormat="1" ht="24.95" customHeight="1" outlineLevel="3" x14ac:dyDescent="0.2">
      <c r="A1618" s="11"/>
      <c r="B1618" s="12">
        <v>940</v>
      </c>
      <c r="C1618" s="15">
        <v>1390</v>
      </c>
      <c r="D1618" s="12">
        <v>4951</v>
      </c>
      <c r="E1618" s="13" t="s">
        <v>5258</v>
      </c>
      <c r="F1618" s="13" t="s">
        <v>5259</v>
      </c>
      <c r="G1618" s="13" t="s">
        <v>97</v>
      </c>
      <c r="H1618" s="13" t="s">
        <v>40</v>
      </c>
      <c r="I1618" s="12">
        <v>2024</v>
      </c>
      <c r="J1618" s="13" t="s">
        <v>5260</v>
      </c>
      <c r="K1618" s="12">
        <v>9785907274990</v>
      </c>
      <c r="L1618" s="13" t="s">
        <v>5261</v>
      </c>
      <c r="M1618" s="12">
        <v>310</v>
      </c>
      <c r="N1618" s="14">
        <v>0.41</v>
      </c>
      <c r="O1618" s="12">
        <v>171</v>
      </c>
      <c r="P1618" s="12">
        <v>241</v>
      </c>
      <c r="Q1618" s="12">
        <v>5</v>
      </c>
      <c r="R1618" s="13" t="s">
        <v>94</v>
      </c>
      <c r="S1618" s="13"/>
      <c r="T1618" s="15">
        <v>1000</v>
      </c>
      <c r="U1618" s="13" t="s">
        <v>52</v>
      </c>
      <c r="V1618" s="13" t="s">
        <v>64</v>
      </c>
      <c r="W1618" s="12">
        <v>10</v>
      </c>
      <c r="X1618" s="33" t="str">
        <f>HYPERLINK("https://www.alpinabook.ru/catalog/book-torgovyy-khaos","ссылка на книгу")</f>
        <v>ссылка на книгу</v>
      </c>
      <c r="Y1618" s="34" t="str">
        <f>HYPERLINK("https://api-enni.alpina.ru/FilePrivilegesApproval/2","https://api-enni.alpina.ru/FilePrivilegesApproval/2")</f>
        <v>https://api-enni.alpina.ru/FilePrivilegesApproval/2</v>
      </c>
      <c r="Z1618" s="13" t="s">
        <v>775</v>
      </c>
      <c r="AT1618" s="1">
        <f t="shared" si="293"/>
        <v>0</v>
      </c>
      <c r="AU1618" s="1">
        <f t="shared" si="294"/>
        <v>0</v>
      </c>
      <c r="AV1618" s="1">
        <f t="shared" si="295"/>
        <v>0</v>
      </c>
      <c r="AW1618" s="1">
        <f t="shared" si="296"/>
        <v>0</v>
      </c>
      <c r="AX1618" s="1">
        <f t="shared" si="297"/>
        <v>0</v>
      </c>
    </row>
    <row r="1619" spans="1:50" s="1" customFormat="1" ht="24.95" customHeight="1" outlineLevel="3" x14ac:dyDescent="0.2">
      <c r="A1619" s="11"/>
      <c r="B1619" s="12">
        <v>790</v>
      </c>
      <c r="C1619" s="15">
        <v>1190</v>
      </c>
      <c r="D1619" s="12">
        <v>4895</v>
      </c>
      <c r="E1619" s="13" t="s">
        <v>5262</v>
      </c>
      <c r="F1619" s="13" t="s">
        <v>5263</v>
      </c>
      <c r="G1619" s="13" t="s">
        <v>97</v>
      </c>
      <c r="H1619" s="13" t="s">
        <v>40</v>
      </c>
      <c r="I1619" s="12">
        <v>2023</v>
      </c>
      <c r="J1619" s="13" t="s">
        <v>5264</v>
      </c>
      <c r="K1619" s="12">
        <v>9785907274938</v>
      </c>
      <c r="L1619" s="13" t="s">
        <v>5265</v>
      </c>
      <c r="M1619" s="12">
        <v>285</v>
      </c>
      <c r="N1619" s="14">
        <v>0.57999999999999996</v>
      </c>
      <c r="O1619" s="12">
        <v>150</v>
      </c>
      <c r="P1619" s="12">
        <v>220</v>
      </c>
      <c r="Q1619" s="12">
        <v>5</v>
      </c>
      <c r="R1619" s="13" t="s">
        <v>94</v>
      </c>
      <c r="S1619" s="13"/>
      <c r="T1619" s="15">
        <v>1000</v>
      </c>
      <c r="U1619" s="13" t="s">
        <v>52</v>
      </c>
      <c r="V1619" s="13" t="s">
        <v>64</v>
      </c>
      <c r="W1619" s="12">
        <v>10</v>
      </c>
      <c r="X1619" s="33" t="str">
        <f>HYPERLINK("https://www.alpinabook.ru/catalog/book-treydery-millionery","ссылка на книгу")</f>
        <v>ссылка на книгу</v>
      </c>
      <c r="Y1619" s="34" t="str">
        <f>HYPERLINK("https://api-enni.alpina.ru/FilePrivilegesApproval/2","https://api-enni.alpina.ru/FilePrivilegesApproval/2")</f>
        <v>https://api-enni.alpina.ru/FilePrivilegesApproval/2</v>
      </c>
      <c r="Z1619" s="13"/>
      <c r="AT1619" s="1">
        <f t="shared" si="293"/>
        <v>0</v>
      </c>
      <c r="AU1619" s="1">
        <f t="shared" si="294"/>
        <v>0</v>
      </c>
      <c r="AV1619" s="1">
        <f t="shared" si="295"/>
        <v>0</v>
      </c>
      <c r="AW1619" s="1">
        <f t="shared" si="296"/>
        <v>0</v>
      </c>
      <c r="AX1619" s="1">
        <f t="shared" si="297"/>
        <v>0</v>
      </c>
    </row>
    <row r="1620" spans="1:50" s="1" customFormat="1" ht="24.95" customHeight="1" outlineLevel="3" x14ac:dyDescent="0.2">
      <c r="A1620" s="11"/>
      <c r="B1620" s="12">
        <v>990</v>
      </c>
      <c r="C1620" s="15">
        <v>1490</v>
      </c>
      <c r="D1620" s="12">
        <v>6015</v>
      </c>
      <c r="E1620" s="13" t="s">
        <v>5266</v>
      </c>
      <c r="F1620" s="13" t="s">
        <v>5267</v>
      </c>
      <c r="G1620" s="13" t="s">
        <v>97</v>
      </c>
      <c r="H1620" s="13" t="s">
        <v>40</v>
      </c>
      <c r="I1620" s="12">
        <v>2025</v>
      </c>
      <c r="J1620" s="13" t="s">
        <v>5268</v>
      </c>
      <c r="K1620" s="12">
        <v>9785907274952</v>
      </c>
      <c r="L1620" s="13" t="s">
        <v>5269</v>
      </c>
      <c r="M1620" s="12">
        <v>460</v>
      </c>
      <c r="N1620" s="14">
        <v>0.83</v>
      </c>
      <c r="O1620" s="12">
        <v>171</v>
      </c>
      <c r="P1620" s="12">
        <v>241</v>
      </c>
      <c r="Q1620" s="12">
        <v>5</v>
      </c>
      <c r="R1620" s="13" t="s">
        <v>94</v>
      </c>
      <c r="S1620" s="13"/>
      <c r="T1620" s="15">
        <v>1000</v>
      </c>
      <c r="U1620" s="13" t="s">
        <v>52</v>
      </c>
      <c r="V1620" s="13" t="s">
        <v>64</v>
      </c>
      <c r="W1620" s="12">
        <v>10</v>
      </c>
      <c r="X1620" s="33" t="str">
        <f>HYPERLINK("https://www.alpinabook.ru/catalog/book-treyding-na-valyutnom-rynke-dlya-nachinayushchikh","ссылка на книгу")</f>
        <v>ссылка на книгу</v>
      </c>
      <c r="Y1620" s="34" t="str">
        <f>HYPERLINK("https://api-enni.alpina.ru/FilePrivilegesApproval/2","https://api-enni.alpina.ru/FilePrivilegesApproval/2")</f>
        <v>https://api-enni.alpina.ru/FilePrivilegesApproval/2</v>
      </c>
      <c r="Z1620" s="13" t="s">
        <v>865</v>
      </c>
      <c r="AT1620" s="1">
        <f t="shared" si="293"/>
        <v>0</v>
      </c>
      <c r="AU1620" s="1">
        <f t="shared" si="294"/>
        <v>0</v>
      </c>
      <c r="AV1620" s="1">
        <f t="shared" si="295"/>
        <v>0</v>
      </c>
      <c r="AW1620" s="1">
        <f t="shared" si="296"/>
        <v>0</v>
      </c>
      <c r="AX1620" s="1">
        <f t="shared" si="297"/>
        <v>0</v>
      </c>
    </row>
    <row r="1621" spans="1:50" s="1" customFormat="1" ht="24.95" customHeight="1" outlineLevel="3" x14ac:dyDescent="0.2">
      <c r="A1621" s="11"/>
      <c r="B1621" s="15">
        <v>1190</v>
      </c>
      <c r="C1621" s="15">
        <v>1690</v>
      </c>
      <c r="D1621" s="12">
        <v>1879</v>
      </c>
      <c r="E1621" s="13" t="s">
        <v>699</v>
      </c>
      <c r="F1621" s="13" t="s">
        <v>5270</v>
      </c>
      <c r="G1621" s="13" t="s">
        <v>56</v>
      </c>
      <c r="H1621" s="13"/>
      <c r="I1621" s="12">
        <v>2025</v>
      </c>
      <c r="J1621" s="13" t="s">
        <v>5271</v>
      </c>
      <c r="K1621" s="12">
        <v>9785961469189</v>
      </c>
      <c r="L1621" s="13" t="s">
        <v>5272</v>
      </c>
      <c r="M1621" s="12">
        <v>488</v>
      </c>
      <c r="N1621" s="14">
        <v>0.89</v>
      </c>
      <c r="O1621" s="12">
        <v>170</v>
      </c>
      <c r="P1621" s="12">
        <v>240</v>
      </c>
      <c r="Q1621" s="12">
        <v>5</v>
      </c>
      <c r="R1621" s="13" t="s">
        <v>94</v>
      </c>
      <c r="S1621" s="13"/>
      <c r="T1621" s="15">
        <v>1000</v>
      </c>
      <c r="U1621" s="13" t="s">
        <v>52</v>
      </c>
      <c r="V1621" s="13" t="s">
        <v>64</v>
      </c>
      <c r="W1621" s="12">
        <v>10</v>
      </c>
      <c r="X1621" s="33" t="str">
        <f>HYPERLINK("https://www.alpinabook.ru/catalog/book-treyding-s-doktorom-elderom","ссылка на книгу")</f>
        <v>ссылка на книгу</v>
      </c>
      <c r="Y1621" s="34" t="str">
        <f>HYPERLINK("https://api-enni.alpina.ru/FilePrivilegesApproval/2","https://api-enni.alpina.ru/FilePrivilegesApproval/2")</f>
        <v>https://api-enni.alpina.ru/FilePrivilegesApproval/2</v>
      </c>
      <c r="Z1621" s="13" t="s">
        <v>282</v>
      </c>
      <c r="AT1621" s="1">
        <f t="shared" si="293"/>
        <v>0</v>
      </c>
      <c r="AU1621" s="1">
        <f t="shared" si="294"/>
        <v>0</v>
      </c>
      <c r="AV1621" s="1">
        <f t="shared" si="295"/>
        <v>0</v>
      </c>
      <c r="AW1621" s="1">
        <f t="shared" si="296"/>
        <v>0</v>
      </c>
      <c r="AX1621" s="1">
        <f t="shared" si="297"/>
        <v>0</v>
      </c>
    </row>
    <row r="1622" spans="1:50" s="1" customFormat="1" ht="24.95" customHeight="1" outlineLevel="3" x14ac:dyDescent="0.2">
      <c r="A1622" s="11"/>
      <c r="B1622" s="12">
        <v>390</v>
      </c>
      <c r="C1622" s="12">
        <v>640</v>
      </c>
      <c r="D1622" s="12">
        <v>6209</v>
      </c>
      <c r="E1622" s="13" t="s">
        <v>699</v>
      </c>
      <c r="F1622" s="13" t="s">
        <v>5273</v>
      </c>
      <c r="G1622" s="13" t="s">
        <v>56</v>
      </c>
      <c r="H1622" s="13" t="s">
        <v>40</v>
      </c>
      <c r="I1622" s="12">
        <v>2025</v>
      </c>
      <c r="J1622" s="13" t="s">
        <v>5274</v>
      </c>
      <c r="K1622" s="12">
        <v>9785961469066</v>
      </c>
      <c r="L1622" s="13" t="s">
        <v>5275</v>
      </c>
      <c r="M1622" s="12">
        <v>120</v>
      </c>
      <c r="N1622" s="14">
        <v>0.12</v>
      </c>
      <c r="O1622" s="12">
        <v>130</v>
      </c>
      <c r="P1622" s="15">
        <v>20600</v>
      </c>
      <c r="Q1622" s="12">
        <v>26</v>
      </c>
      <c r="R1622" s="13" t="s">
        <v>82</v>
      </c>
      <c r="S1622" s="13"/>
      <c r="T1622" s="15">
        <v>2000</v>
      </c>
      <c r="U1622" s="13" t="s">
        <v>52</v>
      </c>
      <c r="V1622" s="13" t="s">
        <v>64</v>
      </c>
      <c r="W1622" s="12">
        <v>10</v>
      </c>
      <c r="X1622" s="33" t="str">
        <f>HYPERLINK("https://www.alpinabook.ru/catalog/book-treyding","ссылка на книгу")</f>
        <v>ссылка на книгу</v>
      </c>
      <c r="Y1622" s="34" t="str">
        <f>HYPERLINK("https://api-enni.alpina.ru/FilePrivilegesApproval/158","https://api-enni.alpina.ru/FilePrivilegesApproval/158")</f>
        <v>https://api-enni.alpina.ru/FilePrivilegesApproval/158</v>
      </c>
      <c r="Z1622" s="13"/>
      <c r="AT1622" s="1">
        <f t="shared" si="293"/>
        <v>0</v>
      </c>
      <c r="AU1622" s="1">
        <f t="shared" si="294"/>
        <v>0</v>
      </c>
      <c r="AV1622" s="1">
        <f t="shared" si="295"/>
        <v>0</v>
      </c>
      <c r="AW1622" s="1">
        <f t="shared" si="296"/>
        <v>0</v>
      </c>
      <c r="AX1622" s="1">
        <f t="shared" si="297"/>
        <v>0</v>
      </c>
    </row>
    <row r="1623" spans="1:50" s="1" customFormat="1" ht="24.95" customHeight="1" outlineLevel="3" x14ac:dyDescent="0.2">
      <c r="A1623" s="11"/>
      <c r="B1623" s="12">
        <v>890</v>
      </c>
      <c r="C1623" s="15">
        <v>1290</v>
      </c>
      <c r="D1623" s="12">
        <v>19395</v>
      </c>
      <c r="E1623" s="13" t="s">
        <v>5276</v>
      </c>
      <c r="F1623" s="13" t="s">
        <v>5277</v>
      </c>
      <c r="G1623" s="13" t="s">
        <v>56</v>
      </c>
      <c r="H1623" s="13" t="s">
        <v>40</v>
      </c>
      <c r="I1623" s="12">
        <v>2021</v>
      </c>
      <c r="J1623" s="13" t="s">
        <v>5278</v>
      </c>
      <c r="K1623" s="12">
        <v>9785961475159</v>
      </c>
      <c r="L1623" s="13" t="s">
        <v>5279</v>
      </c>
      <c r="M1623" s="12">
        <v>320</v>
      </c>
      <c r="N1623" s="14">
        <v>0.48</v>
      </c>
      <c r="O1623" s="12">
        <v>146</v>
      </c>
      <c r="P1623" s="12">
        <v>216</v>
      </c>
      <c r="Q1623" s="12">
        <v>14</v>
      </c>
      <c r="R1623" s="13" t="s">
        <v>43</v>
      </c>
      <c r="S1623" s="13"/>
      <c r="T1623" s="15">
        <v>2000</v>
      </c>
      <c r="U1623" s="13" t="s">
        <v>52</v>
      </c>
      <c r="V1623" s="13" t="s">
        <v>269</v>
      </c>
      <c r="W1623" s="12">
        <v>10</v>
      </c>
      <c r="X1623" s="33" t="str">
        <f>HYPERLINK("https://www.alpinabook.ru/catalog/book-usrednenie-tsennosti","ссылка на книгу")</f>
        <v>ссылка на книгу</v>
      </c>
      <c r="Y1623" s="34" t="str">
        <f>HYPERLINK("https://api-enni.alpina.ru/FilePrivilegesApproval/125","https://api-enni.alpina.ru/FilePrivilegesApproval/125")</f>
        <v>https://api-enni.alpina.ru/FilePrivilegesApproval/125</v>
      </c>
      <c r="Z1623" s="13"/>
      <c r="AT1623" s="1">
        <f t="shared" si="293"/>
        <v>0</v>
      </c>
      <c r="AU1623" s="1">
        <f t="shared" si="294"/>
        <v>0</v>
      </c>
      <c r="AV1623" s="1">
        <f t="shared" si="295"/>
        <v>0</v>
      </c>
      <c r="AW1623" s="1">
        <f t="shared" si="296"/>
        <v>0</v>
      </c>
      <c r="AX1623" s="1">
        <f t="shared" si="297"/>
        <v>0</v>
      </c>
    </row>
    <row r="1624" spans="1:50" s="1" customFormat="1" ht="24.95" customHeight="1" outlineLevel="3" x14ac:dyDescent="0.2">
      <c r="A1624" s="11"/>
      <c r="B1624" s="12">
        <v>790</v>
      </c>
      <c r="C1624" s="15">
        <v>1190</v>
      </c>
      <c r="D1624" s="12">
        <v>30777</v>
      </c>
      <c r="E1624" s="13" t="s">
        <v>5280</v>
      </c>
      <c r="F1624" s="13" t="s">
        <v>5281</v>
      </c>
      <c r="G1624" s="13" t="s">
        <v>97</v>
      </c>
      <c r="H1624" s="13"/>
      <c r="I1624" s="12">
        <v>2024</v>
      </c>
      <c r="J1624" s="13" t="s">
        <v>5282</v>
      </c>
      <c r="K1624" s="12">
        <v>9785206003406</v>
      </c>
      <c r="L1624" s="13" t="s">
        <v>5283</v>
      </c>
      <c r="M1624" s="12">
        <v>128</v>
      </c>
      <c r="N1624" s="14">
        <v>0.45</v>
      </c>
      <c r="O1624" s="12">
        <v>170</v>
      </c>
      <c r="P1624" s="12">
        <v>240</v>
      </c>
      <c r="Q1624" s="12">
        <v>10</v>
      </c>
      <c r="R1624" s="13" t="s">
        <v>94</v>
      </c>
      <c r="S1624" s="13"/>
      <c r="T1624" s="15">
        <v>1505</v>
      </c>
      <c r="U1624" s="13" t="s">
        <v>52</v>
      </c>
      <c r="V1624" s="13" t="s">
        <v>45</v>
      </c>
      <c r="W1624" s="12">
        <v>10</v>
      </c>
      <c r="X1624" s="33" t="str">
        <f>HYPERLINK("https://www.alpinabook.ru/catalog/book-tsenoobrazovanie-ipo-i-spo","ссылка на книгу")</f>
        <v>ссылка на книгу</v>
      </c>
      <c r="Y1624" s="34" t="str">
        <f>HYPERLINK("https://api-enni.alpina.ru/FilePrivilegesApproval/538","https://api-enni.alpina.ru/FilePrivilegesApproval/538")</f>
        <v>https://api-enni.alpina.ru/FilePrivilegesApproval/538</v>
      </c>
      <c r="Z1624" s="13"/>
      <c r="AT1624" s="1">
        <f t="shared" si="293"/>
        <v>0</v>
      </c>
      <c r="AU1624" s="1">
        <f t="shared" si="294"/>
        <v>0</v>
      </c>
      <c r="AV1624" s="1">
        <f t="shared" si="295"/>
        <v>0</v>
      </c>
      <c r="AW1624" s="1">
        <f t="shared" si="296"/>
        <v>0</v>
      </c>
      <c r="AX1624" s="1">
        <f t="shared" si="297"/>
        <v>0</v>
      </c>
    </row>
    <row r="1625" spans="1:50" s="1" customFormat="1" ht="24.95" customHeight="1" outlineLevel="3" x14ac:dyDescent="0.2">
      <c r="A1625" s="26"/>
      <c r="B1625" s="28">
        <v>1490</v>
      </c>
      <c r="C1625" s="28">
        <v>1890</v>
      </c>
      <c r="D1625" s="27">
        <v>30002</v>
      </c>
      <c r="E1625" s="29" t="s">
        <v>5284</v>
      </c>
      <c r="F1625" s="29" t="s">
        <v>5285</v>
      </c>
      <c r="G1625" s="29" t="s">
        <v>56</v>
      </c>
      <c r="H1625" s="29" t="s">
        <v>40</v>
      </c>
      <c r="I1625" s="27">
        <v>2024</v>
      </c>
      <c r="J1625" s="29" t="s">
        <v>5286</v>
      </c>
      <c r="K1625" s="27">
        <v>9785961494556</v>
      </c>
      <c r="L1625" s="29" t="s">
        <v>5287</v>
      </c>
      <c r="M1625" s="27">
        <v>840</v>
      </c>
      <c r="N1625" s="30">
        <v>1.22</v>
      </c>
      <c r="O1625" s="27">
        <v>170</v>
      </c>
      <c r="P1625" s="27">
        <v>240</v>
      </c>
      <c r="Q1625" s="27">
        <v>4</v>
      </c>
      <c r="R1625" s="29" t="s">
        <v>94</v>
      </c>
      <c r="S1625" s="29"/>
      <c r="T1625" s="28">
        <v>1000</v>
      </c>
      <c r="U1625" s="29" t="s">
        <v>52</v>
      </c>
      <c r="V1625" s="29" t="s">
        <v>64</v>
      </c>
      <c r="W1625" s="27">
        <v>10</v>
      </c>
      <c r="X1625" s="37" t="str">
        <f>HYPERLINK("https://www.alpinabook.ru/catalog/book-entsiklopediya-tekhnicheskikh-indikatorov-rynka","ссылка на книгу")</f>
        <v>ссылка на книгу</v>
      </c>
      <c r="Y1625" s="38" t="str">
        <f>HYPERLINK("https://api-enni.alpina.ru/FilePrivilegesApproval/2","https://api-enni.alpina.ru/FilePrivilegesApproval/2")</f>
        <v>https://api-enni.alpina.ru/FilePrivilegesApproval/2</v>
      </c>
      <c r="Z1625" s="29"/>
      <c r="AT1625" s="1">
        <f t="shared" si="293"/>
        <v>0</v>
      </c>
      <c r="AU1625" s="1">
        <f t="shared" si="294"/>
        <v>0</v>
      </c>
      <c r="AV1625" s="1">
        <f t="shared" si="295"/>
        <v>0</v>
      </c>
      <c r="AW1625" s="1">
        <f t="shared" si="296"/>
        <v>0</v>
      </c>
      <c r="AX1625" s="1">
        <f t="shared" si="297"/>
        <v>0</v>
      </c>
    </row>
    <row r="1626" spans="1:50" ht="11.1" customHeight="1" outlineLevel="2" x14ac:dyDescent="0.2">
      <c r="A1626" s="40" t="s">
        <v>5288</v>
      </c>
      <c r="B1626" s="40"/>
      <c r="C1626" s="40"/>
      <c r="D1626" s="40"/>
      <c r="E1626" s="40"/>
      <c r="F1626" s="40"/>
      <c r="G1626" s="40"/>
      <c r="H1626" s="40"/>
      <c r="I1626" s="40"/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20"/>
    </row>
    <row r="1627" spans="1:50" s="1" customFormat="1" ht="24.95" customHeight="1" outlineLevel="3" x14ac:dyDescent="0.2">
      <c r="A1627" s="11"/>
      <c r="B1627" s="12">
        <v>690</v>
      </c>
      <c r="C1627" s="12">
        <v>990</v>
      </c>
      <c r="D1627" s="12">
        <v>18524</v>
      </c>
      <c r="E1627" s="13" t="s">
        <v>5289</v>
      </c>
      <c r="F1627" s="13" t="s">
        <v>5290</v>
      </c>
      <c r="G1627" s="13" t="s">
        <v>97</v>
      </c>
      <c r="H1627" s="13"/>
      <c r="I1627" s="12">
        <v>2024</v>
      </c>
      <c r="J1627" s="13" t="s">
        <v>5291</v>
      </c>
      <c r="K1627" s="12">
        <v>9785907274655</v>
      </c>
      <c r="L1627" s="13" t="s">
        <v>5292</v>
      </c>
      <c r="M1627" s="12">
        <v>275</v>
      </c>
      <c r="N1627" s="14">
        <v>0.46</v>
      </c>
      <c r="O1627" s="12">
        <v>150</v>
      </c>
      <c r="P1627" s="12">
        <v>220</v>
      </c>
      <c r="Q1627" s="12">
        <v>5</v>
      </c>
      <c r="R1627" s="13" t="s">
        <v>43</v>
      </c>
      <c r="S1627" s="13"/>
      <c r="T1627" s="15">
        <v>1000</v>
      </c>
      <c r="U1627" s="13" t="s">
        <v>52</v>
      </c>
      <c r="V1627" s="13" t="s">
        <v>59</v>
      </c>
      <c r="W1627" s="12">
        <v>10</v>
      </c>
      <c r="X1627" s="33" t="str">
        <f>HYPERLINK("https://www.alpinabook.ru/catalog/book-101-sposob-sozdaniya-novykh-istochnikov-dokhoda","ссылка на книгу")</f>
        <v>ссылка на книгу</v>
      </c>
      <c r="Y1627" s="34" t="str">
        <f>HYPERLINK("https://api-enni.alpina.ru/FilePrivilegesApproval/67","https://api-enni.alpina.ru/FilePrivilegesApproval/67")</f>
        <v>https://api-enni.alpina.ru/FilePrivilegesApproval/67</v>
      </c>
      <c r="Z1627" s="13"/>
      <c r="AT1627" s="1">
        <f t="shared" ref="AT1627:AT1635" si="298">IF($A1627&lt;&gt;0,1,0)</f>
        <v>0</v>
      </c>
      <c r="AU1627" s="1">
        <f t="shared" ref="AU1627:AU1635" si="299">$A1627*$B1627</f>
        <v>0</v>
      </c>
      <c r="AV1627" s="1">
        <f t="shared" ref="AV1627:AV1635" si="300">$A1627*$N1627</f>
        <v>0</v>
      </c>
      <c r="AW1627" s="1">
        <f t="shared" ref="AW1627:AW1635" si="301">IF($Q1627=0,0,INT($A1627/$Q1627))</f>
        <v>0</v>
      </c>
      <c r="AX1627" s="1">
        <f t="shared" ref="AX1627:AX1635" si="302">$A1627-$AW1627*$Q1627</f>
        <v>0</v>
      </c>
    </row>
    <row r="1628" spans="1:50" s="1" customFormat="1" ht="21.95" customHeight="1" outlineLevel="3" x14ac:dyDescent="0.2">
      <c r="A1628" s="11"/>
      <c r="B1628" s="12">
        <v>590</v>
      </c>
      <c r="C1628" s="12">
        <v>840</v>
      </c>
      <c r="D1628" s="12">
        <v>23261</v>
      </c>
      <c r="E1628" s="13" t="s">
        <v>283</v>
      </c>
      <c r="F1628" s="13" t="s">
        <v>284</v>
      </c>
      <c r="G1628" s="13" t="s">
        <v>56</v>
      </c>
      <c r="H1628" s="13" t="s">
        <v>236</v>
      </c>
      <c r="I1628" s="12">
        <v>2025</v>
      </c>
      <c r="J1628" s="13" t="s">
        <v>285</v>
      </c>
      <c r="K1628" s="12">
        <v>9785961437102</v>
      </c>
      <c r="L1628" s="13" t="s">
        <v>286</v>
      </c>
      <c r="M1628" s="12">
        <v>208</v>
      </c>
      <c r="N1628" s="14">
        <v>0.37</v>
      </c>
      <c r="O1628" s="12">
        <v>150</v>
      </c>
      <c r="P1628" s="12">
        <v>220</v>
      </c>
      <c r="Q1628" s="12">
        <v>16</v>
      </c>
      <c r="R1628" s="13" t="s">
        <v>43</v>
      </c>
      <c r="S1628" s="13"/>
      <c r="T1628" s="15">
        <v>3000</v>
      </c>
      <c r="U1628" s="13" t="s">
        <v>52</v>
      </c>
      <c r="V1628" s="13" t="s">
        <v>89</v>
      </c>
      <c r="W1628" s="12">
        <v>20</v>
      </c>
      <c r="X1628" s="33" t="str">
        <f>HYPERLINK("https://www.alpinabook.ru/catalog/book-kakebo","ссылка на книгу")</f>
        <v>ссылка на книгу</v>
      </c>
      <c r="Y1628" s="34" t="str">
        <f>HYPERLINK("","")</f>
        <v/>
      </c>
      <c r="Z1628" s="13" t="s">
        <v>77</v>
      </c>
      <c r="AT1628" s="1">
        <f t="shared" si="298"/>
        <v>0</v>
      </c>
      <c r="AU1628" s="1">
        <f t="shared" si="299"/>
        <v>0</v>
      </c>
      <c r="AV1628" s="1">
        <f t="shared" si="300"/>
        <v>0</v>
      </c>
      <c r="AW1628" s="1">
        <f t="shared" si="301"/>
        <v>0</v>
      </c>
      <c r="AX1628" s="1">
        <f t="shared" si="302"/>
        <v>0</v>
      </c>
    </row>
    <row r="1629" spans="1:50" s="1" customFormat="1" ht="21.95" customHeight="1" outlineLevel="3" x14ac:dyDescent="0.2">
      <c r="A1629" s="11"/>
      <c r="B1629" s="12">
        <v>440</v>
      </c>
      <c r="C1629" s="12">
        <v>690</v>
      </c>
      <c r="D1629" s="12">
        <v>23671</v>
      </c>
      <c r="E1629" s="13" t="s">
        <v>5041</v>
      </c>
      <c r="F1629" s="13" t="s">
        <v>5293</v>
      </c>
      <c r="G1629" s="13" t="s">
        <v>56</v>
      </c>
      <c r="H1629" s="13"/>
      <c r="I1629" s="12">
        <v>2025</v>
      </c>
      <c r="J1629" s="13" t="s">
        <v>5294</v>
      </c>
      <c r="K1629" s="12">
        <v>9785961475975</v>
      </c>
      <c r="L1629" s="13" t="s">
        <v>5295</v>
      </c>
      <c r="M1629" s="12">
        <v>119</v>
      </c>
      <c r="N1629" s="14">
        <v>0.24</v>
      </c>
      <c r="O1629" s="12">
        <v>170</v>
      </c>
      <c r="P1629" s="12">
        <v>220</v>
      </c>
      <c r="Q1629" s="12">
        <v>12</v>
      </c>
      <c r="R1629" s="13" t="s">
        <v>100</v>
      </c>
      <c r="S1629" s="13"/>
      <c r="T1629" s="15">
        <v>2000</v>
      </c>
      <c r="U1629" s="13" t="s">
        <v>604</v>
      </c>
      <c r="V1629" s="13" t="s">
        <v>59</v>
      </c>
      <c r="W1629" s="12">
        <v>20</v>
      </c>
      <c r="X1629" s="33" t="str">
        <f>HYPERLINK("https://www.alpinabook.ru/catalog/book-devushka-s-dengami-tetrad","ссылка на книгу")</f>
        <v>ссылка на книгу</v>
      </c>
      <c r="Y1629" s="34" t="str">
        <f>HYPERLINK("","")</f>
        <v/>
      </c>
      <c r="Z1629" s="13"/>
      <c r="AT1629" s="1">
        <f t="shared" si="298"/>
        <v>0</v>
      </c>
      <c r="AU1629" s="1">
        <f t="shared" si="299"/>
        <v>0</v>
      </c>
      <c r="AV1629" s="1">
        <f t="shared" si="300"/>
        <v>0</v>
      </c>
      <c r="AW1629" s="1">
        <f t="shared" si="301"/>
        <v>0</v>
      </c>
      <c r="AX1629" s="1">
        <f t="shared" si="302"/>
        <v>0</v>
      </c>
    </row>
    <row r="1630" spans="1:50" s="1" customFormat="1" ht="24.95" customHeight="1" outlineLevel="3" x14ac:dyDescent="0.2">
      <c r="A1630" s="11"/>
      <c r="B1630" s="12">
        <v>640</v>
      </c>
      <c r="C1630" s="12">
        <v>940</v>
      </c>
      <c r="D1630" s="12">
        <v>11345</v>
      </c>
      <c r="E1630" s="13" t="s">
        <v>5296</v>
      </c>
      <c r="F1630" s="13" t="s">
        <v>5297</v>
      </c>
      <c r="G1630" s="13" t="s">
        <v>56</v>
      </c>
      <c r="H1630" s="13"/>
      <c r="I1630" s="12">
        <v>2025</v>
      </c>
      <c r="J1630" s="13" t="s">
        <v>5298</v>
      </c>
      <c r="K1630" s="12">
        <v>9785961426649</v>
      </c>
      <c r="L1630" s="13" t="s">
        <v>5299</v>
      </c>
      <c r="M1630" s="12">
        <v>422</v>
      </c>
      <c r="N1630" s="14">
        <v>0.76</v>
      </c>
      <c r="O1630" s="12">
        <v>168</v>
      </c>
      <c r="P1630" s="12">
        <v>241</v>
      </c>
      <c r="Q1630" s="12">
        <v>5</v>
      </c>
      <c r="R1630" s="13" t="s">
        <v>94</v>
      </c>
      <c r="S1630" s="13"/>
      <c r="T1630" s="15">
        <v>2000</v>
      </c>
      <c r="U1630" s="13" t="s">
        <v>52</v>
      </c>
      <c r="V1630" s="13" t="s">
        <v>45</v>
      </c>
      <c r="W1630" s="12">
        <v>10</v>
      </c>
      <c r="X1630" s="33" t="str">
        <f>HYPERLINK("https://www.alpinabook.ru/catalog/book-dengi-bez-durakov","ссылка на книгу")</f>
        <v>ссылка на книгу</v>
      </c>
      <c r="Y1630" s="34" t="str">
        <f>HYPERLINK("https://api-enni.alpina.ru/FilePrivilegesApproval/122","https://api-enni.alpina.ru/FilePrivilegesApproval/122")</f>
        <v>https://api-enni.alpina.ru/FilePrivilegesApproval/122</v>
      </c>
      <c r="Z1630" s="13"/>
      <c r="AT1630" s="1">
        <f t="shared" si="298"/>
        <v>0</v>
      </c>
      <c r="AU1630" s="1">
        <f t="shared" si="299"/>
        <v>0</v>
      </c>
      <c r="AV1630" s="1">
        <f t="shared" si="300"/>
        <v>0</v>
      </c>
      <c r="AW1630" s="1">
        <f t="shared" si="301"/>
        <v>0</v>
      </c>
      <c r="AX1630" s="1">
        <f t="shared" si="302"/>
        <v>0</v>
      </c>
    </row>
    <row r="1631" spans="1:50" s="1" customFormat="1" ht="24.95" customHeight="1" outlineLevel="3" x14ac:dyDescent="0.2">
      <c r="A1631" s="11"/>
      <c r="B1631" s="12">
        <v>690</v>
      </c>
      <c r="C1631" s="12">
        <v>990</v>
      </c>
      <c r="D1631" s="12">
        <v>17739</v>
      </c>
      <c r="E1631" s="13" t="s">
        <v>393</v>
      </c>
      <c r="F1631" s="13" t="s">
        <v>394</v>
      </c>
      <c r="G1631" s="13" t="s">
        <v>56</v>
      </c>
      <c r="H1631" s="13"/>
      <c r="I1631" s="12">
        <v>2025</v>
      </c>
      <c r="J1631" s="13" t="s">
        <v>395</v>
      </c>
      <c r="K1631" s="12">
        <v>9785961433180</v>
      </c>
      <c r="L1631" s="13" t="s">
        <v>396</v>
      </c>
      <c r="M1631" s="12">
        <v>240</v>
      </c>
      <c r="N1631" s="14">
        <v>0.38</v>
      </c>
      <c r="O1631" s="12">
        <v>146</v>
      </c>
      <c r="P1631" s="12">
        <v>216</v>
      </c>
      <c r="Q1631" s="12">
        <v>16</v>
      </c>
      <c r="R1631" s="13" t="s">
        <v>43</v>
      </c>
      <c r="S1631" s="13"/>
      <c r="T1631" s="15">
        <v>6000</v>
      </c>
      <c r="U1631" s="13" t="s">
        <v>52</v>
      </c>
      <c r="V1631" s="13" t="s">
        <v>269</v>
      </c>
      <c r="W1631" s="12">
        <v>10</v>
      </c>
      <c r="X1631" s="33" t="str">
        <f>HYPERLINK("https://www.alpinabook.ru/catalog/book-dengi-delayut-dengi","ссылка на книгу")</f>
        <v>ссылка на книгу</v>
      </c>
      <c r="Y1631" s="34" t="str">
        <f>HYPERLINK("https://api-enni.alpina.ru/FilePrivilegesApproval/77","https://api-enni.alpina.ru/FilePrivilegesApproval/77")</f>
        <v>https://api-enni.alpina.ru/FilePrivilegesApproval/77</v>
      </c>
      <c r="Z1631" s="13" t="s">
        <v>70</v>
      </c>
      <c r="AT1631" s="1">
        <f t="shared" si="298"/>
        <v>0</v>
      </c>
      <c r="AU1631" s="1">
        <f t="shared" si="299"/>
        <v>0</v>
      </c>
      <c r="AV1631" s="1">
        <f t="shared" si="300"/>
        <v>0</v>
      </c>
      <c r="AW1631" s="1">
        <f t="shared" si="301"/>
        <v>0</v>
      </c>
      <c r="AX1631" s="1">
        <f t="shared" si="302"/>
        <v>0</v>
      </c>
    </row>
    <row r="1632" spans="1:50" s="1" customFormat="1" ht="24.95" customHeight="1" outlineLevel="3" x14ac:dyDescent="0.2">
      <c r="A1632" s="11"/>
      <c r="B1632" s="12">
        <v>940</v>
      </c>
      <c r="C1632" s="15">
        <v>1390</v>
      </c>
      <c r="D1632" s="12">
        <v>28063</v>
      </c>
      <c r="E1632" s="13" t="s">
        <v>5300</v>
      </c>
      <c r="F1632" s="13" t="s">
        <v>5301</v>
      </c>
      <c r="G1632" s="13" t="s">
        <v>97</v>
      </c>
      <c r="H1632" s="13"/>
      <c r="I1632" s="12">
        <v>2025</v>
      </c>
      <c r="J1632" s="13" t="s">
        <v>5302</v>
      </c>
      <c r="K1632" s="12">
        <v>9785206001914</v>
      </c>
      <c r="L1632" s="13" t="s">
        <v>5303</v>
      </c>
      <c r="M1632" s="12">
        <v>341</v>
      </c>
      <c r="N1632" s="14">
        <v>0.66</v>
      </c>
      <c r="O1632" s="12">
        <v>170</v>
      </c>
      <c r="P1632" s="12">
        <v>240</v>
      </c>
      <c r="Q1632" s="12">
        <v>6</v>
      </c>
      <c r="R1632" s="13" t="s">
        <v>94</v>
      </c>
      <c r="S1632" s="13"/>
      <c r="T1632" s="15">
        <v>4000</v>
      </c>
      <c r="U1632" s="13" t="s">
        <v>52</v>
      </c>
      <c r="V1632" s="13" t="s">
        <v>89</v>
      </c>
      <c r="W1632" s="12">
        <v>10</v>
      </c>
      <c r="X1632" s="33" t="str">
        <f>HYPERLINK("https://www.alpinabook.ru/catalog/book-osnovy-finansovoy-gramotnosti","ссылка на книгу")</f>
        <v>ссылка на книгу</v>
      </c>
      <c r="Y1632" s="34" t="str">
        <f>HYPERLINK("https://api-enni.alpina.ru/FilePrivilegesApproval/237","https://api-enni.alpina.ru/FilePrivilegesApproval/237")</f>
        <v>https://api-enni.alpina.ru/FilePrivilegesApproval/237</v>
      </c>
      <c r="Z1632" s="13" t="s">
        <v>65</v>
      </c>
      <c r="AT1632" s="1">
        <f t="shared" si="298"/>
        <v>0</v>
      </c>
      <c r="AU1632" s="1">
        <f t="shared" si="299"/>
        <v>0</v>
      </c>
      <c r="AV1632" s="1">
        <f t="shared" si="300"/>
        <v>0</v>
      </c>
      <c r="AW1632" s="1">
        <f t="shared" si="301"/>
        <v>0</v>
      </c>
      <c r="AX1632" s="1">
        <f t="shared" si="302"/>
        <v>0</v>
      </c>
    </row>
    <row r="1633" spans="1:50" s="1" customFormat="1" ht="24.95" customHeight="1" outlineLevel="3" x14ac:dyDescent="0.2">
      <c r="A1633" s="26"/>
      <c r="B1633" s="28">
        <v>1040</v>
      </c>
      <c r="C1633" s="28">
        <v>1490</v>
      </c>
      <c r="D1633" s="27">
        <v>26026</v>
      </c>
      <c r="E1633" s="29" t="s">
        <v>5104</v>
      </c>
      <c r="F1633" s="29" t="s">
        <v>5304</v>
      </c>
      <c r="G1633" s="29" t="s">
        <v>97</v>
      </c>
      <c r="H1633" s="29" t="s">
        <v>40</v>
      </c>
      <c r="I1633" s="27">
        <v>2025</v>
      </c>
      <c r="J1633" s="29" t="s">
        <v>5305</v>
      </c>
      <c r="K1633" s="27">
        <v>9785206000528</v>
      </c>
      <c r="L1633" s="29" t="s">
        <v>5306</v>
      </c>
      <c r="M1633" s="27">
        <v>329</v>
      </c>
      <c r="N1633" s="30">
        <v>0.64</v>
      </c>
      <c r="O1633" s="27">
        <v>170</v>
      </c>
      <c r="P1633" s="27">
        <v>240</v>
      </c>
      <c r="Q1633" s="27">
        <v>5</v>
      </c>
      <c r="R1633" s="29" t="s">
        <v>94</v>
      </c>
      <c r="S1633" s="29"/>
      <c r="T1633" s="28">
        <v>1000</v>
      </c>
      <c r="U1633" s="29" t="s">
        <v>52</v>
      </c>
      <c r="V1633" s="29" t="s">
        <v>59</v>
      </c>
      <c r="W1633" s="27">
        <v>10</v>
      </c>
      <c r="X1633" s="37" t="str">
        <f>HYPERLINK("https://www.alpinabook.ru/catalog/book-pereigrat-uoll-strit","ссылка на книгу")</f>
        <v>ссылка на книгу</v>
      </c>
      <c r="Y1633" s="38" t="str">
        <f>HYPERLINK("https://api-enni.alpina.ru/FilePrivilegesApproval/167","https://api-enni.alpina.ru/FilePrivilegesApproval/167")</f>
        <v>https://api-enni.alpina.ru/FilePrivilegesApproval/167</v>
      </c>
      <c r="Z1633" s="29" t="s">
        <v>2940</v>
      </c>
      <c r="AT1633" s="1">
        <f t="shared" si="298"/>
        <v>0</v>
      </c>
      <c r="AU1633" s="1">
        <f t="shared" si="299"/>
        <v>0</v>
      </c>
      <c r="AV1633" s="1">
        <f t="shared" si="300"/>
        <v>0</v>
      </c>
      <c r="AW1633" s="1">
        <f t="shared" si="301"/>
        <v>0</v>
      </c>
      <c r="AX1633" s="1">
        <f t="shared" si="302"/>
        <v>0</v>
      </c>
    </row>
    <row r="1634" spans="1:50" s="1" customFormat="1" ht="24.95" customHeight="1" outlineLevel="3" x14ac:dyDescent="0.2">
      <c r="A1634" s="11"/>
      <c r="B1634" s="12">
        <v>690</v>
      </c>
      <c r="C1634" s="12">
        <v>990</v>
      </c>
      <c r="D1634" s="12">
        <v>26596</v>
      </c>
      <c r="E1634" s="13" t="s">
        <v>5307</v>
      </c>
      <c r="F1634" s="13" t="s">
        <v>5308</v>
      </c>
      <c r="G1634" s="13" t="s">
        <v>56</v>
      </c>
      <c r="H1634" s="13"/>
      <c r="I1634" s="12">
        <v>2025</v>
      </c>
      <c r="J1634" s="13" t="s">
        <v>5309</v>
      </c>
      <c r="K1634" s="12">
        <v>9785961482362</v>
      </c>
      <c r="L1634" s="13" t="s">
        <v>5310</v>
      </c>
      <c r="M1634" s="12">
        <v>352</v>
      </c>
      <c r="N1634" s="14">
        <v>0.43</v>
      </c>
      <c r="O1634" s="12">
        <v>150</v>
      </c>
      <c r="P1634" s="12">
        <v>210</v>
      </c>
      <c r="Q1634" s="12">
        <v>5</v>
      </c>
      <c r="R1634" s="13" t="s">
        <v>43</v>
      </c>
      <c r="S1634" s="13"/>
      <c r="T1634" s="15">
        <v>1000</v>
      </c>
      <c r="U1634" s="13" t="s">
        <v>44</v>
      </c>
      <c r="V1634" s="13" t="s">
        <v>59</v>
      </c>
      <c r="W1634" s="12">
        <v>10</v>
      </c>
      <c r="X1634" s="33" t="str">
        <f>HYPERLINK("https://www.alpinabook.ru/catalog/book-semeynye-finansy-eto-prosto","ссылка на книгу")</f>
        <v>ссылка на книгу</v>
      </c>
      <c r="Y1634" s="34" t="str">
        <f>HYPERLINK("https://api-enni.alpina.ru/FilePrivilegesApproval/302","https://api-enni.alpina.ru/FilePrivilegesApproval/302")</f>
        <v>https://api-enni.alpina.ru/FilePrivilegesApproval/302</v>
      </c>
      <c r="Z1634" s="13" t="s">
        <v>1422</v>
      </c>
      <c r="AT1634" s="1">
        <f t="shared" si="298"/>
        <v>0</v>
      </c>
      <c r="AU1634" s="1">
        <f t="shared" si="299"/>
        <v>0</v>
      </c>
      <c r="AV1634" s="1">
        <f t="shared" si="300"/>
        <v>0</v>
      </c>
      <c r="AW1634" s="1">
        <f t="shared" si="301"/>
        <v>0</v>
      </c>
      <c r="AX1634" s="1">
        <f t="shared" si="302"/>
        <v>0</v>
      </c>
    </row>
    <row r="1635" spans="1:50" s="1" customFormat="1" ht="24.95" customHeight="1" outlineLevel="3" x14ac:dyDescent="0.2">
      <c r="A1635" s="11"/>
      <c r="B1635" s="12">
        <v>990</v>
      </c>
      <c r="C1635" s="12">
        <v>990</v>
      </c>
      <c r="D1635" s="12">
        <v>25949</v>
      </c>
      <c r="E1635" s="13" t="s">
        <v>5311</v>
      </c>
      <c r="F1635" s="13" t="s">
        <v>5312</v>
      </c>
      <c r="G1635" s="13" t="s">
        <v>97</v>
      </c>
      <c r="H1635" s="13" t="s">
        <v>40</v>
      </c>
      <c r="I1635" s="12">
        <v>2022</v>
      </c>
      <c r="J1635" s="13" t="s">
        <v>5313</v>
      </c>
      <c r="K1635" s="12">
        <v>9785206000474</v>
      </c>
      <c r="L1635" s="13" t="s">
        <v>5314</v>
      </c>
      <c r="M1635" s="12">
        <v>197</v>
      </c>
      <c r="N1635" s="14">
        <v>0.4</v>
      </c>
      <c r="O1635" s="12">
        <v>168</v>
      </c>
      <c r="P1635" s="12">
        <v>241</v>
      </c>
      <c r="Q1635" s="12">
        <v>10</v>
      </c>
      <c r="R1635" s="13" t="s">
        <v>94</v>
      </c>
      <c r="S1635" s="13"/>
      <c r="T1635" s="15">
        <v>1500</v>
      </c>
      <c r="U1635" s="13" t="s">
        <v>52</v>
      </c>
      <c r="V1635" s="13" t="s">
        <v>59</v>
      </c>
      <c r="W1635" s="12">
        <v>10</v>
      </c>
      <c r="X1635" s="33" t="str">
        <f>HYPERLINK("https://www.alpinabook.ru/catalog/book-filosofiya-stokrata","ссылка на книгу")</f>
        <v>ссылка на книгу</v>
      </c>
      <c r="Y1635" s="34" t="str">
        <f>HYPERLINK("https://api-enni.alpina.ru/FilePrivilegesApproval/251","https://api-enni.alpina.ru/FilePrivilegesApproval/251")</f>
        <v>https://api-enni.alpina.ru/FilePrivilegesApproval/251</v>
      </c>
      <c r="Z1635" s="13"/>
      <c r="AT1635" s="1">
        <f t="shared" si="298"/>
        <v>0</v>
      </c>
      <c r="AU1635" s="1">
        <f t="shared" si="299"/>
        <v>0</v>
      </c>
      <c r="AV1635" s="1">
        <f t="shared" si="300"/>
        <v>0</v>
      </c>
      <c r="AW1635" s="1">
        <f t="shared" si="301"/>
        <v>0</v>
      </c>
      <c r="AX1635" s="1">
        <f t="shared" si="302"/>
        <v>0</v>
      </c>
    </row>
    <row r="1636" spans="1:50" ht="11.1" customHeight="1" outlineLevel="2" x14ac:dyDescent="0.2">
      <c r="A1636" s="40" t="s">
        <v>5315</v>
      </c>
      <c r="B1636" s="40"/>
      <c r="C1636" s="40"/>
      <c r="D1636" s="40"/>
      <c r="E1636" s="40"/>
      <c r="F1636" s="40"/>
      <c r="G1636" s="40"/>
      <c r="H1636" s="40"/>
      <c r="I1636" s="40"/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20"/>
    </row>
    <row r="1637" spans="1:50" s="1" customFormat="1" ht="24.95" customHeight="1" outlineLevel="3" x14ac:dyDescent="0.2">
      <c r="A1637" s="11"/>
      <c r="B1637" s="12">
        <v>790</v>
      </c>
      <c r="C1637" s="12">
        <v>790</v>
      </c>
      <c r="D1637" s="12">
        <v>6709</v>
      </c>
      <c r="E1637" s="13" t="s">
        <v>5316</v>
      </c>
      <c r="F1637" s="13" t="s">
        <v>5317</v>
      </c>
      <c r="G1637" s="13" t="s">
        <v>97</v>
      </c>
      <c r="H1637" s="13"/>
      <c r="I1637" s="12">
        <v>2017</v>
      </c>
      <c r="J1637" s="13" t="s">
        <v>5318</v>
      </c>
      <c r="K1637" s="12">
        <v>9785990813342</v>
      </c>
      <c r="L1637" s="13" t="s">
        <v>5319</v>
      </c>
      <c r="M1637" s="12">
        <v>320</v>
      </c>
      <c r="N1637" s="14">
        <v>0.4</v>
      </c>
      <c r="O1637" s="12">
        <v>141</v>
      </c>
      <c r="P1637" s="12">
        <v>210</v>
      </c>
      <c r="Q1637" s="12">
        <v>10</v>
      </c>
      <c r="R1637" s="13" t="s">
        <v>43</v>
      </c>
      <c r="S1637" s="13"/>
      <c r="T1637" s="15">
        <v>1000</v>
      </c>
      <c r="U1637" s="13" t="s">
        <v>44</v>
      </c>
      <c r="V1637" s="13" t="s">
        <v>64</v>
      </c>
      <c r="W1637" s="12">
        <v>10</v>
      </c>
      <c r="X1637" s="33" t="str">
        <f>HYPERLINK("https://www.alpinabook.ru/catalog/book-354897","ссылка на книгу")</f>
        <v>ссылка на книгу</v>
      </c>
      <c r="Y1637" s="34" t="str">
        <f>HYPERLINK("","")</f>
        <v/>
      </c>
      <c r="Z1637" s="13"/>
      <c r="AT1637" s="1">
        <f>IF($A1637&lt;&gt;0,1,0)</f>
        <v>0</v>
      </c>
      <c r="AU1637" s="1">
        <f>$A1637*$B1637</f>
        <v>0</v>
      </c>
      <c r="AV1637" s="1">
        <f>$A1637*$N1637</f>
        <v>0</v>
      </c>
      <c r="AW1637" s="1">
        <f>IF($Q1637=0,0,INT($A1637/$Q1637))</f>
        <v>0</v>
      </c>
      <c r="AX1637" s="1">
        <f>$A1637-$AW1637*$Q1637</f>
        <v>0</v>
      </c>
    </row>
    <row r="1638" spans="1:50" s="1" customFormat="1" ht="24.95" customHeight="1" outlineLevel="3" x14ac:dyDescent="0.2">
      <c r="A1638" s="11"/>
      <c r="B1638" s="12">
        <v>640</v>
      </c>
      <c r="C1638" s="12">
        <v>640</v>
      </c>
      <c r="D1638" s="12">
        <v>9122</v>
      </c>
      <c r="E1638" s="13" t="s">
        <v>5320</v>
      </c>
      <c r="F1638" s="13" t="s">
        <v>5321</v>
      </c>
      <c r="G1638" s="13" t="s">
        <v>97</v>
      </c>
      <c r="H1638" s="13"/>
      <c r="I1638" s="12">
        <v>2023</v>
      </c>
      <c r="J1638" s="13" t="s">
        <v>5322</v>
      </c>
      <c r="K1638" s="12">
        <v>9785604231920</v>
      </c>
      <c r="L1638" s="13" t="s">
        <v>5323</v>
      </c>
      <c r="M1638" s="12">
        <v>192</v>
      </c>
      <c r="N1638" s="14">
        <v>0.54</v>
      </c>
      <c r="O1638" s="12">
        <v>168</v>
      </c>
      <c r="P1638" s="12">
        <v>241</v>
      </c>
      <c r="Q1638" s="12">
        <v>10</v>
      </c>
      <c r="R1638" s="13" t="s">
        <v>94</v>
      </c>
      <c r="S1638" s="13"/>
      <c r="T1638" s="15">
        <v>1500</v>
      </c>
      <c r="U1638" s="13" t="s">
        <v>52</v>
      </c>
      <c r="V1638" s="13" t="s">
        <v>59</v>
      </c>
      <c r="W1638" s="12">
        <v>10</v>
      </c>
      <c r="X1638" s="33" t="str">
        <f>HYPERLINK("https://www.alpinabook.ru/catalog/book-vsye-o-biznese-za-dva-chasa","ссылка на книгу")</f>
        <v>ссылка на книгу</v>
      </c>
      <c r="Y1638" s="34" t="str">
        <f>HYPERLINK("https://api-enni.alpina.ru/FilePrivilegesApproval/114","https://api-enni.alpina.ru/FilePrivilegesApproval/114")</f>
        <v>https://api-enni.alpina.ru/FilePrivilegesApproval/114</v>
      </c>
      <c r="Z1638" s="13"/>
      <c r="AT1638" s="1">
        <f>IF($A1638&lt;&gt;0,1,0)</f>
        <v>0</v>
      </c>
      <c r="AU1638" s="1">
        <f>$A1638*$B1638</f>
        <v>0</v>
      </c>
      <c r="AV1638" s="1">
        <f>$A1638*$N1638</f>
        <v>0</v>
      </c>
      <c r="AW1638" s="1">
        <f>IF($Q1638=0,0,INT($A1638/$Q1638))</f>
        <v>0</v>
      </c>
      <c r="AX1638" s="1">
        <f>$A1638-$AW1638*$Q1638</f>
        <v>0</v>
      </c>
    </row>
    <row r="1639" spans="1:50" s="1" customFormat="1" ht="24.95" customHeight="1" outlineLevel="3" x14ac:dyDescent="0.2">
      <c r="A1639" s="11"/>
      <c r="B1639" s="12">
        <v>590</v>
      </c>
      <c r="C1639" s="12">
        <v>590</v>
      </c>
      <c r="D1639" s="12">
        <v>25054</v>
      </c>
      <c r="E1639" s="13" t="s">
        <v>5324</v>
      </c>
      <c r="F1639" s="13" t="s">
        <v>5325</v>
      </c>
      <c r="G1639" s="13" t="s">
        <v>97</v>
      </c>
      <c r="H1639" s="13"/>
      <c r="I1639" s="12">
        <v>2022</v>
      </c>
      <c r="J1639" s="13" t="s">
        <v>5326</v>
      </c>
      <c r="K1639" s="12">
        <v>9785907534414</v>
      </c>
      <c r="L1639" s="13" t="s">
        <v>5327</v>
      </c>
      <c r="M1639" s="12">
        <v>116</v>
      </c>
      <c r="N1639" s="14">
        <v>0.26</v>
      </c>
      <c r="O1639" s="12">
        <v>146</v>
      </c>
      <c r="P1639" s="12">
        <v>216</v>
      </c>
      <c r="Q1639" s="12">
        <v>2</v>
      </c>
      <c r="R1639" s="13" t="s">
        <v>43</v>
      </c>
      <c r="S1639" s="13"/>
      <c r="T1639" s="15">
        <v>1510</v>
      </c>
      <c r="U1639" s="13" t="s">
        <v>52</v>
      </c>
      <c r="V1639" s="13" t="s">
        <v>59</v>
      </c>
      <c r="W1639" s="12">
        <v>10</v>
      </c>
      <c r="X1639" s="33" t="str">
        <f>HYPERLINK("https://www.alpinabook.ru/catalog/book-put-litigatora","ссылка на книгу")</f>
        <v>ссылка на книгу</v>
      </c>
      <c r="Y1639" s="34" t="str">
        <f>HYPERLINK("https://api-enni.alpina.ru/FilePrivilegesApproval/143","https://api-enni.alpina.ru/FilePrivilegesApproval/143")</f>
        <v>https://api-enni.alpina.ru/FilePrivilegesApproval/143</v>
      </c>
      <c r="Z1639" s="13"/>
      <c r="AT1639" s="1">
        <f>IF($A1639&lt;&gt;0,1,0)</f>
        <v>0</v>
      </c>
      <c r="AU1639" s="1">
        <f>$A1639*$B1639</f>
        <v>0</v>
      </c>
      <c r="AV1639" s="1">
        <f>$A1639*$N1639</f>
        <v>0</v>
      </c>
      <c r="AW1639" s="1">
        <f>IF($Q1639=0,0,INT($A1639/$Q1639))</f>
        <v>0</v>
      </c>
      <c r="AX1639" s="1">
        <f>$A1639-$AW1639*$Q1639</f>
        <v>0</v>
      </c>
    </row>
    <row r="1640" spans="1:50" s="1" customFormat="1" ht="24.95" customHeight="1" outlineLevel="3" x14ac:dyDescent="0.2">
      <c r="A1640" s="11"/>
      <c r="B1640" s="12">
        <v>690</v>
      </c>
      <c r="C1640" s="12">
        <v>990</v>
      </c>
      <c r="D1640" s="12">
        <v>25340</v>
      </c>
      <c r="E1640" s="13" t="s">
        <v>5328</v>
      </c>
      <c r="F1640" s="13" t="s">
        <v>5329</v>
      </c>
      <c r="G1640" s="13" t="s">
        <v>56</v>
      </c>
      <c r="H1640" s="13"/>
      <c r="I1640" s="12">
        <v>2023</v>
      </c>
      <c r="J1640" s="13" t="s">
        <v>5330</v>
      </c>
      <c r="K1640" s="12">
        <v>9785961477566</v>
      </c>
      <c r="L1640" s="13" t="s">
        <v>5331</v>
      </c>
      <c r="M1640" s="12">
        <v>400</v>
      </c>
      <c r="N1640" s="14">
        <v>0.56999999999999995</v>
      </c>
      <c r="O1640" s="12">
        <v>140</v>
      </c>
      <c r="P1640" s="12">
        <v>200</v>
      </c>
      <c r="Q1640" s="12">
        <v>10</v>
      </c>
      <c r="R1640" s="13" t="s">
        <v>43</v>
      </c>
      <c r="S1640" s="13"/>
      <c r="T1640" s="15">
        <v>2000</v>
      </c>
      <c r="U1640" s="13" t="s">
        <v>44</v>
      </c>
      <c r="V1640" s="13" t="s">
        <v>45</v>
      </c>
      <c r="W1640" s="12">
        <v>10</v>
      </c>
      <c r="X1640" s="33" t="str">
        <f>HYPERLINK("https://www.alpinabook.ru/catalog/book-svorovali-nakazhi","ссылка на книгу")</f>
        <v>ссылка на книгу</v>
      </c>
      <c r="Y1640" s="34" t="str">
        <f>HYPERLINK("https://api-enni.alpina.ru/FilePrivilegesApproval/163","https://api-enni.alpina.ru/FilePrivilegesApproval/163")</f>
        <v>https://api-enni.alpina.ru/FilePrivilegesApproval/163</v>
      </c>
      <c r="Z1640" s="13"/>
      <c r="AT1640" s="1">
        <f>IF($A1640&lt;&gt;0,1,0)</f>
        <v>0</v>
      </c>
      <c r="AU1640" s="1">
        <f>$A1640*$B1640</f>
        <v>0</v>
      </c>
      <c r="AV1640" s="1">
        <f>$A1640*$N1640</f>
        <v>0</v>
      </c>
      <c r="AW1640" s="1">
        <f>IF($Q1640=0,0,INT($A1640/$Q1640))</f>
        <v>0</v>
      </c>
      <c r="AX1640" s="1">
        <f>$A1640-$AW1640*$Q1640</f>
        <v>0</v>
      </c>
    </row>
    <row r="1641" spans="1:50" s="1" customFormat="1" ht="24.95" customHeight="1" outlineLevel="3" x14ac:dyDescent="0.2">
      <c r="A1641" s="11"/>
      <c r="B1641" s="15">
        <v>1290</v>
      </c>
      <c r="C1641" s="15">
        <v>1790</v>
      </c>
      <c r="D1641" s="12">
        <v>32243</v>
      </c>
      <c r="E1641" s="13" t="s">
        <v>5328</v>
      </c>
      <c r="F1641" s="13" t="s">
        <v>5329</v>
      </c>
      <c r="G1641" s="13" t="s">
        <v>56</v>
      </c>
      <c r="H1641" s="13"/>
      <c r="I1641" s="12">
        <v>2025</v>
      </c>
      <c r="J1641" s="13" t="s">
        <v>5332</v>
      </c>
      <c r="K1641" s="12">
        <v>9785006301702</v>
      </c>
      <c r="L1641" s="13" t="s">
        <v>5333</v>
      </c>
      <c r="M1641" s="12">
        <v>400</v>
      </c>
      <c r="N1641" s="14">
        <v>0.65</v>
      </c>
      <c r="O1641" s="12">
        <v>150</v>
      </c>
      <c r="P1641" s="12">
        <v>210</v>
      </c>
      <c r="Q1641" s="12">
        <v>8</v>
      </c>
      <c r="R1641" s="13" t="s">
        <v>43</v>
      </c>
      <c r="S1641" s="13"/>
      <c r="T1641" s="15">
        <v>1500</v>
      </c>
      <c r="U1641" s="13" t="s">
        <v>52</v>
      </c>
      <c r="V1641" s="13" t="s">
        <v>45</v>
      </c>
      <c r="W1641" s="12">
        <v>10</v>
      </c>
      <c r="X1641" s="33" t="str">
        <f>HYPERLINK("https://www.alpinabook.ru/catalog/book-svorovali-nakazhi","ссылка на книгу")</f>
        <v>ссылка на книгу</v>
      </c>
      <c r="Y1641" s="34" t="str">
        <f>HYPERLINK("https://api-enni.alpina.ru/FilePrivilegesApproval/163","https://api-enni.alpina.ru/FilePrivilegesApproval/163")</f>
        <v>https://api-enni.alpina.ru/FilePrivilegesApproval/163</v>
      </c>
      <c r="Z1641" s="13"/>
      <c r="AT1641" s="1">
        <f>IF($A1641&lt;&gt;0,1,0)</f>
        <v>0</v>
      </c>
      <c r="AU1641" s="1">
        <f>$A1641*$B1641</f>
        <v>0</v>
      </c>
      <c r="AV1641" s="1">
        <f>$A1641*$N1641</f>
        <v>0</v>
      </c>
      <c r="AW1641" s="1">
        <f>IF($Q1641=0,0,INT($A1641/$Q1641))</f>
        <v>0</v>
      </c>
      <c r="AX1641" s="1">
        <f>$A1641-$AW1641*$Q1641</f>
        <v>0</v>
      </c>
    </row>
    <row r="1642" spans="1:50" ht="15" customHeight="1" outlineLevel="1" x14ac:dyDescent="0.2">
      <c r="A1642" s="39" t="s">
        <v>5334</v>
      </c>
      <c r="B1642" s="39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19"/>
    </row>
    <row r="1643" spans="1:50" ht="11.1" customHeight="1" outlineLevel="2" x14ac:dyDescent="0.2">
      <c r="A1643" s="40" t="s">
        <v>5335</v>
      </c>
      <c r="B1643" s="40"/>
      <c r="C1643" s="40"/>
      <c r="D1643" s="40"/>
      <c r="E1643" s="40"/>
      <c r="F1643" s="40"/>
      <c r="G1643" s="40"/>
      <c r="H1643" s="40"/>
      <c r="I1643" s="40"/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20"/>
    </row>
    <row r="1644" spans="1:50" s="1" customFormat="1" ht="24.95" customHeight="1" outlineLevel="3" x14ac:dyDescent="0.2">
      <c r="A1644" s="21"/>
      <c r="B1644" s="25">
        <v>1990</v>
      </c>
      <c r="C1644" s="25">
        <v>2490</v>
      </c>
      <c r="D1644" s="22">
        <v>9074</v>
      </c>
      <c r="E1644" s="23" t="s">
        <v>5336</v>
      </c>
      <c r="F1644" s="23" t="s">
        <v>5337</v>
      </c>
      <c r="G1644" s="23" t="s">
        <v>56</v>
      </c>
      <c r="H1644" s="23" t="s">
        <v>40</v>
      </c>
      <c r="I1644" s="22">
        <v>2025</v>
      </c>
      <c r="J1644" s="23" t="s">
        <v>5338</v>
      </c>
      <c r="K1644" s="22">
        <v>9785961410655</v>
      </c>
      <c r="L1644" s="23" t="s">
        <v>5339</v>
      </c>
      <c r="M1644" s="22">
        <v>551</v>
      </c>
      <c r="N1644" s="24">
        <v>1.7</v>
      </c>
      <c r="O1644" s="22">
        <v>220</v>
      </c>
      <c r="P1644" s="22">
        <v>270</v>
      </c>
      <c r="Q1644" s="22">
        <v>4</v>
      </c>
      <c r="R1644" s="23" t="s">
        <v>167</v>
      </c>
      <c r="S1644" s="23"/>
      <c r="T1644" s="25">
        <v>2000</v>
      </c>
      <c r="U1644" s="23" t="s">
        <v>52</v>
      </c>
      <c r="V1644" s="23" t="s">
        <v>45</v>
      </c>
      <c r="W1644" s="22">
        <v>10</v>
      </c>
      <c r="X1644" s="35" t="str">
        <f>HYPERLINK("https://www.alpinabook.ru/catalog/book-biokhaking","ссылка на книгу")</f>
        <v>ссылка на книгу</v>
      </c>
      <c r="Y1644" s="36" t="str">
        <f>HYPERLINK("https://api-enni.alpina.ru/FilePrivilegesApproval/124","https://api-enni.alpina.ru/FilePrivilegesApproval/124")</f>
        <v>https://api-enni.alpina.ru/FilePrivilegesApproval/124</v>
      </c>
      <c r="Z1644" s="23" t="s">
        <v>5340</v>
      </c>
      <c r="AT1644" s="1">
        <f t="shared" ref="AT1644:AT1651" si="303">IF($A1644&lt;&gt;0,1,0)</f>
        <v>0</v>
      </c>
      <c r="AU1644" s="1">
        <f t="shared" ref="AU1644:AU1651" si="304">$A1644*$B1644</f>
        <v>0</v>
      </c>
      <c r="AV1644" s="1">
        <f t="shared" ref="AV1644:AV1651" si="305">$A1644*$N1644</f>
        <v>0</v>
      </c>
      <c r="AW1644" s="1">
        <f t="shared" ref="AW1644:AW1651" si="306">IF($Q1644=0,0,INT($A1644/$Q1644))</f>
        <v>0</v>
      </c>
      <c r="AX1644" s="1">
        <f t="shared" ref="AX1644:AX1651" si="307">$A1644-$AW1644*$Q1644</f>
        <v>0</v>
      </c>
    </row>
    <row r="1645" spans="1:50" s="1" customFormat="1" ht="24.95" customHeight="1" outlineLevel="3" x14ac:dyDescent="0.2">
      <c r="A1645" s="21"/>
      <c r="B1645" s="22">
        <v>590</v>
      </c>
      <c r="C1645" s="22">
        <v>840</v>
      </c>
      <c r="D1645" s="22">
        <v>17902</v>
      </c>
      <c r="E1645" s="23" t="s">
        <v>5341</v>
      </c>
      <c r="F1645" s="23" t="s">
        <v>5342</v>
      </c>
      <c r="G1645" s="23" t="s">
        <v>56</v>
      </c>
      <c r="H1645" s="23" t="s">
        <v>40</v>
      </c>
      <c r="I1645" s="22">
        <v>2021</v>
      </c>
      <c r="J1645" s="23" t="s">
        <v>5343</v>
      </c>
      <c r="K1645" s="22">
        <v>9785961432381</v>
      </c>
      <c r="L1645" s="23" t="s">
        <v>5344</v>
      </c>
      <c r="M1645" s="22">
        <v>334</v>
      </c>
      <c r="N1645" s="24">
        <v>0.52</v>
      </c>
      <c r="O1645" s="22">
        <v>143</v>
      </c>
      <c r="P1645" s="22">
        <v>210</v>
      </c>
      <c r="Q1645" s="22">
        <v>8</v>
      </c>
      <c r="R1645" s="23" t="s">
        <v>43</v>
      </c>
      <c r="S1645" s="23"/>
      <c r="T1645" s="25">
        <v>3000</v>
      </c>
      <c r="U1645" s="23" t="s">
        <v>44</v>
      </c>
      <c r="V1645" s="23" t="s">
        <v>59</v>
      </c>
      <c r="W1645" s="22">
        <v>10</v>
      </c>
      <c r="X1645" s="35" t="str">
        <f>HYPERLINK("https://www.alpinabook.ru/catalog/book-676667","ссылка на книгу")</f>
        <v>ссылка на книгу</v>
      </c>
      <c r="Y1645" s="36" t="str">
        <f>HYPERLINK("https://api-enni.alpina.ru/FilePrivilegesApproval/108","https://api-enni.alpina.ru/FilePrivilegesApproval/108")</f>
        <v>https://api-enni.alpina.ru/FilePrivilegesApproval/108</v>
      </c>
      <c r="Z1645" s="23"/>
      <c r="AT1645" s="1">
        <f t="shared" si="303"/>
        <v>0</v>
      </c>
      <c r="AU1645" s="1">
        <f t="shared" si="304"/>
        <v>0</v>
      </c>
      <c r="AV1645" s="1">
        <f t="shared" si="305"/>
        <v>0</v>
      </c>
      <c r="AW1645" s="1">
        <f t="shared" si="306"/>
        <v>0</v>
      </c>
      <c r="AX1645" s="1">
        <f t="shared" si="307"/>
        <v>0</v>
      </c>
    </row>
    <row r="1646" spans="1:50" s="1" customFormat="1" ht="24.95" customHeight="1" outlineLevel="3" x14ac:dyDescent="0.2">
      <c r="A1646" s="21"/>
      <c r="B1646" s="22">
        <v>590</v>
      </c>
      <c r="C1646" s="22">
        <v>840</v>
      </c>
      <c r="D1646" s="22">
        <v>5469</v>
      </c>
      <c r="E1646" s="23" t="s">
        <v>1769</v>
      </c>
      <c r="F1646" s="23" t="s">
        <v>5345</v>
      </c>
      <c r="G1646" s="23" t="s">
        <v>56</v>
      </c>
      <c r="H1646" s="23" t="s">
        <v>434</v>
      </c>
      <c r="I1646" s="22">
        <v>2024</v>
      </c>
      <c r="J1646" s="23" t="s">
        <v>5346</v>
      </c>
      <c r="K1646" s="22">
        <v>9785961469509</v>
      </c>
      <c r="L1646" s="23" t="s">
        <v>5347</v>
      </c>
      <c r="M1646" s="22">
        <v>232</v>
      </c>
      <c r="N1646" s="24">
        <v>0.41</v>
      </c>
      <c r="O1646" s="22">
        <v>146</v>
      </c>
      <c r="P1646" s="22">
        <v>216</v>
      </c>
      <c r="Q1646" s="22">
        <v>14</v>
      </c>
      <c r="R1646" s="23" t="s">
        <v>43</v>
      </c>
      <c r="S1646" s="23"/>
      <c r="T1646" s="25">
        <v>2000</v>
      </c>
      <c r="U1646" s="23" t="s">
        <v>52</v>
      </c>
      <c r="V1646" s="23" t="s">
        <v>64</v>
      </c>
      <c r="W1646" s="22">
        <v>10</v>
      </c>
      <c r="X1646" s="35" t="str">
        <f>HYPERLINK("https://www.alpinabook.ru/catalog/book-iskusstvo-zhit-prosto","ссылка на книгу")</f>
        <v>ссылка на книгу</v>
      </c>
      <c r="Y1646" s="36" t="str">
        <f>HYPERLINK("https://api-enni.alpina.ru/FilePrivilegesApproval/2","https://api-enni.alpina.ru/FilePrivilegesApproval/2")</f>
        <v>https://api-enni.alpina.ru/FilePrivilegesApproval/2</v>
      </c>
      <c r="Z1646" s="23"/>
      <c r="AT1646" s="1">
        <f t="shared" si="303"/>
        <v>0</v>
      </c>
      <c r="AU1646" s="1">
        <f t="shared" si="304"/>
        <v>0</v>
      </c>
      <c r="AV1646" s="1">
        <f t="shared" si="305"/>
        <v>0</v>
      </c>
      <c r="AW1646" s="1">
        <f t="shared" si="306"/>
        <v>0</v>
      </c>
      <c r="AX1646" s="1">
        <f t="shared" si="307"/>
        <v>0</v>
      </c>
    </row>
    <row r="1647" spans="1:50" s="1" customFormat="1" ht="24.95" customHeight="1" outlineLevel="3" x14ac:dyDescent="0.2">
      <c r="A1647" s="21"/>
      <c r="B1647" s="22">
        <v>940</v>
      </c>
      <c r="C1647" s="25">
        <v>1390</v>
      </c>
      <c r="D1647" s="22">
        <v>29415</v>
      </c>
      <c r="E1647" s="23" t="s">
        <v>5348</v>
      </c>
      <c r="F1647" s="23" t="s">
        <v>5349</v>
      </c>
      <c r="G1647" s="23" t="s">
        <v>97</v>
      </c>
      <c r="H1647" s="23"/>
      <c r="I1647" s="22">
        <v>2024</v>
      </c>
      <c r="J1647" s="23" t="s">
        <v>5350</v>
      </c>
      <c r="K1647" s="22">
        <v>9785206002683</v>
      </c>
      <c r="L1647" s="23" t="s">
        <v>5351</v>
      </c>
      <c r="M1647" s="22">
        <v>88</v>
      </c>
      <c r="N1647" s="24">
        <v>0.22</v>
      </c>
      <c r="O1647" s="22">
        <v>150</v>
      </c>
      <c r="P1647" s="22">
        <v>220</v>
      </c>
      <c r="Q1647" s="22">
        <v>8</v>
      </c>
      <c r="R1647" s="23" t="s">
        <v>43</v>
      </c>
      <c r="S1647" s="23"/>
      <c r="T1647" s="25">
        <v>1005</v>
      </c>
      <c r="U1647" s="23" t="s">
        <v>52</v>
      </c>
      <c r="V1647" s="23" t="s">
        <v>59</v>
      </c>
      <c r="W1647" s="22">
        <v>10</v>
      </c>
      <c r="X1647" s="35" t="str">
        <f>HYPERLINK("https://www.alpinabook.ru/catalog/book-kartu-v-ruki","ссылка на книгу")</f>
        <v>ссылка на книгу</v>
      </c>
      <c r="Y1647" s="36" t="str">
        <f>HYPERLINK("https://api-enni.alpina.ru/FilePrivilegesApproval/341","https://api-enni.alpina.ru/FilePrivilegesApproval/341")</f>
        <v>https://api-enni.alpina.ru/FilePrivilegesApproval/341</v>
      </c>
      <c r="Z1647" s="23"/>
      <c r="AT1647" s="1">
        <f t="shared" si="303"/>
        <v>0</v>
      </c>
      <c r="AU1647" s="1">
        <f t="shared" si="304"/>
        <v>0</v>
      </c>
      <c r="AV1647" s="1">
        <f t="shared" si="305"/>
        <v>0</v>
      </c>
      <c r="AW1647" s="1">
        <f t="shared" si="306"/>
        <v>0</v>
      </c>
      <c r="AX1647" s="1">
        <f t="shared" si="307"/>
        <v>0</v>
      </c>
    </row>
    <row r="1648" spans="1:50" s="1" customFormat="1" ht="24.95" customHeight="1" outlineLevel="3" x14ac:dyDescent="0.2">
      <c r="A1648" s="21"/>
      <c r="B1648" s="22">
        <v>440</v>
      </c>
      <c r="C1648" s="22">
        <v>690</v>
      </c>
      <c r="D1648" s="22">
        <v>26685</v>
      </c>
      <c r="E1648" s="23" t="s">
        <v>5352</v>
      </c>
      <c r="F1648" s="23" t="s">
        <v>5353</v>
      </c>
      <c r="G1648" s="23" t="s">
        <v>56</v>
      </c>
      <c r="H1648" s="23" t="s">
        <v>40</v>
      </c>
      <c r="I1648" s="22">
        <v>2023</v>
      </c>
      <c r="J1648" s="23" t="s">
        <v>5354</v>
      </c>
      <c r="K1648" s="22">
        <v>9785961482614</v>
      </c>
      <c r="L1648" s="23" t="s">
        <v>5355</v>
      </c>
      <c r="M1648" s="22">
        <v>328</v>
      </c>
      <c r="N1648" s="24">
        <v>0.39</v>
      </c>
      <c r="O1648" s="22">
        <v>140</v>
      </c>
      <c r="P1648" s="22">
        <v>210</v>
      </c>
      <c r="Q1648" s="22">
        <v>14</v>
      </c>
      <c r="R1648" s="23" t="s">
        <v>43</v>
      </c>
      <c r="S1648" s="23"/>
      <c r="T1648" s="25">
        <v>2000</v>
      </c>
      <c r="U1648" s="23" t="s">
        <v>44</v>
      </c>
      <c r="V1648" s="23" t="s">
        <v>45</v>
      </c>
      <c r="W1648" s="22">
        <v>10</v>
      </c>
      <c r="X1648" s="35" t="str">
        <f>HYPERLINK("https://www.alpinabook.ru/catalog/book-prostye-pravila-khoroshey-zhizni","ссылка на книгу")</f>
        <v>ссылка на книгу</v>
      </c>
      <c r="Y1648" s="36" t="str">
        <f>HYPERLINK("https://api-enni.alpina.ru/FilePrivilegesApproval/214","https://api-enni.alpina.ru/FilePrivilegesApproval/214")</f>
        <v>https://api-enni.alpina.ru/FilePrivilegesApproval/214</v>
      </c>
      <c r="Z1648" s="23"/>
      <c r="AT1648" s="1">
        <f t="shared" si="303"/>
        <v>0</v>
      </c>
      <c r="AU1648" s="1">
        <f t="shared" si="304"/>
        <v>0</v>
      </c>
      <c r="AV1648" s="1">
        <f t="shared" si="305"/>
        <v>0</v>
      </c>
      <c r="AW1648" s="1">
        <f t="shared" si="306"/>
        <v>0</v>
      </c>
      <c r="AX1648" s="1">
        <f t="shared" si="307"/>
        <v>0</v>
      </c>
    </row>
    <row r="1649" spans="1:50" s="1" customFormat="1" ht="24.95" customHeight="1" outlineLevel="3" x14ac:dyDescent="0.2">
      <c r="A1649" s="21"/>
      <c r="B1649" s="22">
        <v>640</v>
      </c>
      <c r="C1649" s="22">
        <v>940</v>
      </c>
      <c r="D1649" s="22">
        <v>28843</v>
      </c>
      <c r="E1649" s="23" t="s">
        <v>5356</v>
      </c>
      <c r="F1649" s="23" t="s">
        <v>5357</v>
      </c>
      <c r="G1649" s="23" t="s">
        <v>56</v>
      </c>
      <c r="H1649" s="23"/>
      <c r="I1649" s="22">
        <v>2025</v>
      </c>
      <c r="J1649" s="23" t="s">
        <v>5358</v>
      </c>
      <c r="K1649" s="22">
        <v>9785961490275</v>
      </c>
      <c r="L1649" s="23" t="s">
        <v>5359</v>
      </c>
      <c r="M1649" s="22">
        <v>226</v>
      </c>
      <c r="N1649" s="24">
        <v>0.37</v>
      </c>
      <c r="O1649" s="22">
        <v>140</v>
      </c>
      <c r="P1649" s="22">
        <v>210</v>
      </c>
      <c r="Q1649" s="22">
        <v>14</v>
      </c>
      <c r="R1649" s="23" t="s">
        <v>43</v>
      </c>
      <c r="S1649" s="23"/>
      <c r="T1649" s="25">
        <v>2000</v>
      </c>
      <c r="U1649" s="23" t="s">
        <v>44</v>
      </c>
      <c r="V1649" s="23" t="s">
        <v>59</v>
      </c>
      <c r="W1649" s="22">
        <v>10</v>
      </c>
      <c r="X1649" s="35" t="str">
        <f>HYPERLINK("https://www.alpinabook.ru/catalog/book-skandinavskiy-dizayn","ссылка на книгу")</f>
        <v>ссылка на книгу</v>
      </c>
      <c r="Y1649" s="36" t="str">
        <f>HYPERLINK("https://api-enni.alpina.ru/FilePrivilegesApproval/405","https://api-enni.alpina.ru/FilePrivilegesApproval/405")</f>
        <v>https://api-enni.alpina.ru/FilePrivilegesApproval/405</v>
      </c>
      <c r="Z1649" s="23" t="s">
        <v>954</v>
      </c>
      <c r="AT1649" s="1">
        <f t="shared" si="303"/>
        <v>0</v>
      </c>
      <c r="AU1649" s="1">
        <f t="shared" si="304"/>
        <v>0</v>
      </c>
      <c r="AV1649" s="1">
        <f t="shared" si="305"/>
        <v>0</v>
      </c>
      <c r="AW1649" s="1">
        <f t="shared" si="306"/>
        <v>0</v>
      </c>
      <c r="AX1649" s="1">
        <f t="shared" si="307"/>
        <v>0</v>
      </c>
    </row>
    <row r="1650" spans="1:50" s="1" customFormat="1" ht="24.95" customHeight="1" outlineLevel="3" x14ac:dyDescent="0.2">
      <c r="A1650" s="21"/>
      <c r="B1650" s="22">
        <v>490</v>
      </c>
      <c r="C1650" s="22">
        <v>740</v>
      </c>
      <c r="D1650" s="22">
        <v>26817</v>
      </c>
      <c r="E1650" s="23" t="s">
        <v>5360</v>
      </c>
      <c r="F1650" s="23" t="s">
        <v>5361</v>
      </c>
      <c r="G1650" s="23" t="s">
        <v>56</v>
      </c>
      <c r="H1650" s="23" t="s">
        <v>40</v>
      </c>
      <c r="I1650" s="22">
        <v>2023</v>
      </c>
      <c r="J1650" s="23" t="s">
        <v>5362</v>
      </c>
      <c r="K1650" s="22">
        <v>9785961483130</v>
      </c>
      <c r="L1650" s="23" t="s">
        <v>5363</v>
      </c>
      <c r="M1650" s="22">
        <v>328</v>
      </c>
      <c r="N1650" s="24">
        <v>0.39</v>
      </c>
      <c r="O1650" s="22">
        <v>140</v>
      </c>
      <c r="P1650" s="22">
        <v>210</v>
      </c>
      <c r="Q1650" s="22">
        <v>14</v>
      </c>
      <c r="R1650" s="23" t="s">
        <v>43</v>
      </c>
      <c r="S1650" s="23"/>
      <c r="T1650" s="25">
        <v>3000</v>
      </c>
      <c r="U1650" s="23" t="s">
        <v>44</v>
      </c>
      <c r="V1650" s="23" t="s">
        <v>45</v>
      </c>
      <c r="W1650" s="22">
        <v>10</v>
      </c>
      <c r="X1650" s="35" t="str">
        <f>HYPERLINK("https://www.alpinabook.ru/catalog/book-ty-kak-tolko-chestno","ссылка на книгу")</f>
        <v>ссылка на книгу</v>
      </c>
      <c r="Y1650" s="36" t="str">
        <f>HYPERLINK("https://api-enni.alpina.ru/FilePrivilegesApproval/300","https://api-enni.alpina.ru/FilePrivilegesApproval/300")</f>
        <v>https://api-enni.alpina.ru/FilePrivilegesApproval/300</v>
      </c>
      <c r="Z1650" s="23"/>
      <c r="AT1650" s="1">
        <f t="shared" si="303"/>
        <v>0</v>
      </c>
      <c r="AU1650" s="1">
        <f t="shared" si="304"/>
        <v>0</v>
      </c>
      <c r="AV1650" s="1">
        <f t="shared" si="305"/>
        <v>0</v>
      </c>
      <c r="AW1650" s="1">
        <f t="shared" si="306"/>
        <v>0</v>
      </c>
      <c r="AX1650" s="1">
        <f t="shared" si="307"/>
        <v>0</v>
      </c>
    </row>
    <row r="1651" spans="1:50" s="1" customFormat="1" ht="24.95" customHeight="1" outlineLevel="3" x14ac:dyDescent="0.2">
      <c r="A1651" s="21"/>
      <c r="B1651" s="22">
        <v>790</v>
      </c>
      <c r="C1651" s="22">
        <v>790</v>
      </c>
      <c r="D1651" s="22">
        <v>25183</v>
      </c>
      <c r="E1651" s="23" t="s">
        <v>5364</v>
      </c>
      <c r="F1651" s="23" t="s">
        <v>5365</v>
      </c>
      <c r="G1651" s="23" t="s">
        <v>97</v>
      </c>
      <c r="H1651" s="23" t="s">
        <v>40</v>
      </c>
      <c r="I1651" s="22">
        <v>2022</v>
      </c>
      <c r="J1651" s="23" t="s">
        <v>5366</v>
      </c>
      <c r="K1651" s="22">
        <v>9785907534643</v>
      </c>
      <c r="L1651" s="23" t="s">
        <v>5367</v>
      </c>
      <c r="M1651" s="22">
        <v>280</v>
      </c>
      <c r="N1651" s="24">
        <v>0.45</v>
      </c>
      <c r="O1651" s="22">
        <v>146</v>
      </c>
      <c r="P1651" s="22">
        <v>216</v>
      </c>
      <c r="Q1651" s="22">
        <v>8</v>
      </c>
      <c r="R1651" s="23" t="s">
        <v>43</v>
      </c>
      <c r="S1651" s="23"/>
      <c r="T1651" s="25">
        <v>1200</v>
      </c>
      <c r="U1651" s="23" t="s">
        <v>52</v>
      </c>
      <c r="V1651" s="23" t="s">
        <v>45</v>
      </c>
      <c r="W1651" s="22">
        <v>10</v>
      </c>
      <c r="X1651" s="35" t="str">
        <f>HYPERLINK("https://www.alpinabook.ru/catalog/book-ekologicheski-minimalizm","ссылка на книгу")</f>
        <v>ссылка на книгу</v>
      </c>
      <c r="Y1651" s="36" t="str">
        <f>HYPERLINK("https://api-enni.alpina.ru/FilePrivilegesApproval/237","https://api-enni.alpina.ru/FilePrivilegesApproval/237")</f>
        <v>https://api-enni.alpina.ru/FilePrivilegesApproval/237</v>
      </c>
      <c r="Z1651" s="23"/>
      <c r="AT1651" s="1">
        <f t="shared" si="303"/>
        <v>0</v>
      </c>
      <c r="AU1651" s="1">
        <f t="shared" si="304"/>
        <v>0</v>
      </c>
      <c r="AV1651" s="1">
        <f t="shared" si="305"/>
        <v>0</v>
      </c>
      <c r="AW1651" s="1">
        <f t="shared" si="306"/>
        <v>0</v>
      </c>
      <c r="AX1651" s="1">
        <f t="shared" si="307"/>
        <v>0</v>
      </c>
    </row>
    <row r="1652" spans="1:50" ht="11.1" customHeight="1" outlineLevel="2" x14ac:dyDescent="0.2">
      <c r="A1652" s="40" t="s">
        <v>5368</v>
      </c>
      <c r="B1652" s="40"/>
      <c r="C1652" s="40"/>
      <c r="D1652" s="40"/>
      <c r="E1652" s="40"/>
      <c r="F1652" s="40"/>
      <c r="G1652" s="40"/>
      <c r="H1652" s="40"/>
      <c r="I1652" s="40"/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20"/>
    </row>
    <row r="1653" spans="1:50" s="1" customFormat="1" ht="24.95" customHeight="1" outlineLevel="3" x14ac:dyDescent="0.2">
      <c r="A1653" s="26"/>
      <c r="B1653" s="27">
        <v>790</v>
      </c>
      <c r="C1653" s="28">
        <v>1190</v>
      </c>
      <c r="D1653" s="27">
        <v>18805</v>
      </c>
      <c r="E1653" s="29" t="s">
        <v>5369</v>
      </c>
      <c r="F1653" s="29" t="s">
        <v>5370</v>
      </c>
      <c r="G1653" s="29" t="s">
        <v>56</v>
      </c>
      <c r="H1653" s="29"/>
      <c r="I1653" s="27">
        <v>2021</v>
      </c>
      <c r="J1653" s="29" t="s">
        <v>5371</v>
      </c>
      <c r="K1653" s="27">
        <v>9785961437584</v>
      </c>
      <c r="L1653" s="29" t="s">
        <v>5372</v>
      </c>
      <c r="M1653" s="27">
        <v>192</v>
      </c>
      <c r="N1653" s="30">
        <v>0.38</v>
      </c>
      <c r="O1653" s="27">
        <v>163</v>
      </c>
      <c r="P1653" s="27">
        <v>215</v>
      </c>
      <c r="Q1653" s="27">
        <v>10</v>
      </c>
      <c r="R1653" s="29" t="s">
        <v>100</v>
      </c>
      <c r="S1653" s="29"/>
      <c r="T1653" s="28">
        <v>3000</v>
      </c>
      <c r="U1653" s="29" t="s">
        <v>44</v>
      </c>
      <c r="V1653" s="29" t="s">
        <v>45</v>
      </c>
      <c r="W1653" s="27">
        <v>10</v>
      </c>
      <c r="X1653" s="37" t="str">
        <f>HYPERLINK("https://www.alpinabook.ru/catalog/book-679799","ссылка на книгу")</f>
        <v>ссылка на книгу</v>
      </c>
      <c r="Y1653" s="38" t="str">
        <f>HYPERLINK("https://api-enni.alpina.ru/FilePrivilegesApproval/78","https://api-enni.alpina.ru/FilePrivilegesApproval/78")</f>
        <v>https://api-enni.alpina.ru/FilePrivilegesApproval/78</v>
      </c>
      <c r="Z1653" s="29"/>
      <c r="AT1653" s="1">
        <f>IF($A1653&lt;&gt;0,1,0)</f>
        <v>0</v>
      </c>
      <c r="AU1653" s="1">
        <f>$A1653*$B1653</f>
        <v>0</v>
      </c>
      <c r="AV1653" s="1">
        <f>$A1653*$N1653</f>
        <v>0</v>
      </c>
      <c r="AW1653" s="1">
        <f>IF($Q1653=0,0,INT($A1653/$Q1653))</f>
        <v>0</v>
      </c>
      <c r="AX1653" s="1">
        <f>$A1653-$AW1653*$Q1653</f>
        <v>0</v>
      </c>
    </row>
    <row r="1654" spans="1:50" s="1" customFormat="1" ht="24.95" customHeight="1" outlineLevel="3" x14ac:dyDescent="0.2">
      <c r="A1654" s="11"/>
      <c r="B1654" s="12">
        <v>510</v>
      </c>
      <c r="C1654" s="12">
        <v>790</v>
      </c>
      <c r="D1654" s="12">
        <v>6201</v>
      </c>
      <c r="E1654" s="13" t="s">
        <v>5373</v>
      </c>
      <c r="F1654" s="13" t="s">
        <v>5374</v>
      </c>
      <c r="G1654" s="13" t="s">
        <v>56</v>
      </c>
      <c r="H1654" s="13"/>
      <c r="I1654" s="12">
        <v>2025</v>
      </c>
      <c r="J1654" s="13" t="s">
        <v>5375</v>
      </c>
      <c r="K1654" s="12">
        <v>9785961466980</v>
      </c>
      <c r="L1654" s="13" t="s">
        <v>5376</v>
      </c>
      <c r="M1654" s="12">
        <v>400</v>
      </c>
      <c r="N1654" s="14">
        <v>0.47</v>
      </c>
      <c r="O1654" s="12">
        <v>146</v>
      </c>
      <c r="P1654" s="12">
        <v>216</v>
      </c>
      <c r="Q1654" s="12">
        <v>10</v>
      </c>
      <c r="R1654" s="13" t="s">
        <v>43</v>
      </c>
      <c r="S1654" s="13"/>
      <c r="T1654" s="15">
        <v>1500</v>
      </c>
      <c r="U1654" s="13" t="s">
        <v>52</v>
      </c>
      <c r="V1654" s="13" t="s">
        <v>64</v>
      </c>
      <c r="W1654" s="12">
        <v>10</v>
      </c>
      <c r="X1654" s="33" t="str">
        <f>HYPERLINK("https://www.alpinabook.ru/catalog/book-kniga-nachinayushchego-shakhmatista","ссылка на книгу")</f>
        <v>ссылка на книгу</v>
      </c>
      <c r="Y1654" s="34" t="str">
        <f>HYPERLINK("https://api-enni.alpina.ru/FilePrivilegesApproval/2","https://api-enni.alpina.ru/FilePrivilegesApproval/2")</f>
        <v>https://api-enni.alpina.ru/FilePrivilegesApproval/2</v>
      </c>
      <c r="Z1654" s="13" t="s">
        <v>954</v>
      </c>
      <c r="AT1654" s="1">
        <f>IF($A1654&lt;&gt;0,1,0)</f>
        <v>0</v>
      </c>
      <c r="AU1654" s="1">
        <f>$A1654*$B1654</f>
        <v>0</v>
      </c>
      <c r="AV1654" s="1">
        <f>$A1654*$N1654</f>
        <v>0</v>
      </c>
      <c r="AW1654" s="1">
        <f>IF($Q1654=0,0,INT($A1654/$Q1654))</f>
        <v>0</v>
      </c>
      <c r="AX1654" s="1">
        <f>$A1654-$AW1654*$Q1654</f>
        <v>0</v>
      </c>
    </row>
    <row r="1655" spans="1:50" s="1" customFormat="1" ht="24.95" customHeight="1" outlineLevel="3" x14ac:dyDescent="0.2">
      <c r="A1655" s="11"/>
      <c r="B1655" s="12">
        <v>890</v>
      </c>
      <c r="C1655" s="12">
        <v>890</v>
      </c>
      <c r="D1655" s="12">
        <v>23274</v>
      </c>
      <c r="E1655" s="13" t="s">
        <v>5377</v>
      </c>
      <c r="F1655" s="13" t="s">
        <v>5378</v>
      </c>
      <c r="G1655" s="13" t="s">
        <v>97</v>
      </c>
      <c r="H1655" s="13"/>
      <c r="I1655" s="12">
        <v>2021</v>
      </c>
      <c r="J1655" s="13" t="s">
        <v>5379</v>
      </c>
      <c r="K1655" s="12">
        <v>9785907394827</v>
      </c>
      <c r="L1655" s="13" t="s">
        <v>5380</v>
      </c>
      <c r="M1655" s="12">
        <v>528</v>
      </c>
      <c r="N1655" s="14">
        <v>0.91</v>
      </c>
      <c r="O1655" s="12">
        <v>146</v>
      </c>
      <c r="P1655" s="12">
        <v>216</v>
      </c>
      <c r="Q1655" s="12">
        <v>4</v>
      </c>
      <c r="R1655" s="13" t="s">
        <v>43</v>
      </c>
      <c r="S1655" s="13"/>
      <c r="T1655" s="15">
        <v>2500</v>
      </c>
      <c r="U1655" s="13" t="s">
        <v>52</v>
      </c>
      <c r="V1655" s="13" t="s">
        <v>59</v>
      </c>
      <c r="W1655" s="12">
        <v>10</v>
      </c>
      <c r="X1655" s="33" t="str">
        <f>HYPERLINK("https://www.alpinabook.ru/catalog/book-fokus-na-zhizn","ссылка на книгу")</f>
        <v>ссылка на книгу</v>
      </c>
      <c r="Y1655" s="34" t="str">
        <f>HYPERLINK("https://api-enni.alpina.ru/FilePrivilegesApproval/120","https://api-enni.alpina.ru/FilePrivilegesApproval/120")</f>
        <v>https://api-enni.alpina.ru/FilePrivilegesApproval/120</v>
      </c>
      <c r="Z1655" s="13"/>
      <c r="AT1655" s="1">
        <f>IF($A1655&lt;&gt;0,1,0)</f>
        <v>0</v>
      </c>
      <c r="AU1655" s="1">
        <f>$A1655*$B1655</f>
        <v>0</v>
      </c>
      <c r="AV1655" s="1">
        <f>$A1655*$N1655</f>
        <v>0</v>
      </c>
      <c r="AW1655" s="1">
        <f>IF($Q1655=0,0,INT($A1655/$Q1655))</f>
        <v>0</v>
      </c>
      <c r="AX1655" s="1">
        <f>$A1655-$AW1655*$Q1655</f>
        <v>0</v>
      </c>
    </row>
    <row r="1656" spans="1:50" ht="11.1" customHeight="1" outlineLevel="2" x14ac:dyDescent="0.2">
      <c r="A1656" s="40" t="s">
        <v>5381</v>
      </c>
      <c r="B1656" s="40"/>
      <c r="C1656" s="40"/>
      <c r="D1656" s="40"/>
      <c r="E1656" s="40"/>
      <c r="F1656" s="40"/>
      <c r="G1656" s="40"/>
      <c r="H1656" s="40"/>
      <c r="I1656" s="40"/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20"/>
    </row>
    <row r="1657" spans="1:50" s="1" customFormat="1" ht="24.95" customHeight="1" outlineLevel="3" x14ac:dyDescent="0.2">
      <c r="A1657" s="11"/>
      <c r="B1657" s="12">
        <v>590</v>
      </c>
      <c r="C1657" s="12">
        <v>840</v>
      </c>
      <c r="D1657" s="12">
        <v>27747</v>
      </c>
      <c r="E1657" s="13" t="s">
        <v>397</v>
      </c>
      <c r="F1657" s="13" t="s">
        <v>398</v>
      </c>
      <c r="G1657" s="13" t="s">
        <v>86</v>
      </c>
      <c r="H1657" s="13" t="s">
        <v>40</v>
      </c>
      <c r="I1657" s="12">
        <v>2022</v>
      </c>
      <c r="J1657" s="13" t="s">
        <v>399</v>
      </c>
      <c r="K1657" s="12">
        <v>9785001399520</v>
      </c>
      <c r="L1657" s="13" t="s">
        <v>400</v>
      </c>
      <c r="M1657" s="12">
        <v>238</v>
      </c>
      <c r="N1657" s="14">
        <v>0.39</v>
      </c>
      <c r="O1657" s="12">
        <v>170</v>
      </c>
      <c r="P1657" s="12">
        <v>240</v>
      </c>
      <c r="Q1657" s="12">
        <v>10</v>
      </c>
      <c r="R1657" s="13" t="s">
        <v>94</v>
      </c>
      <c r="S1657" s="13"/>
      <c r="T1657" s="15">
        <v>1000</v>
      </c>
      <c r="U1657" s="13" t="s">
        <v>44</v>
      </c>
      <c r="V1657" s="13" t="s">
        <v>59</v>
      </c>
      <c r="W1657" s="12">
        <v>10</v>
      </c>
      <c r="X1657" s="33" t="str">
        <f>HYPERLINK("https://www.alpinabook.ru/catalog/book-derevo-yogi","ссылка на книгу")</f>
        <v>ссылка на книгу</v>
      </c>
      <c r="Y1657" s="34" t="str">
        <f>HYPERLINK("https://api-enni.alpina.ru/FilePrivilegesApproval/149","https://api-enni.alpina.ru/FilePrivilegesApproval/149")</f>
        <v>https://api-enni.alpina.ru/FilePrivilegesApproval/149</v>
      </c>
      <c r="Z1657" s="13" t="s">
        <v>65</v>
      </c>
      <c r="AT1657" s="1">
        <f>IF($A1657&lt;&gt;0,1,0)</f>
        <v>0</v>
      </c>
      <c r="AU1657" s="1">
        <f>$A1657*$B1657</f>
        <v>0</v>
      </c>
      <c r="AV1657" s="1">
        <f>$A1657*$N1657</f>
        <v>0</v>
      </c>
      <c r="AW1657" s="1">
        <f>IF($Q1657=0,0,INT($A1657/$Q1657))</f>
        <v>0</v>
      </c>
      <c r="AX1657" s="1">
        <f>$A1657-$AW1657*$Q1657</f>
        <v>0</v>
      </c>
    </row>
    <row r="1658" spans="1:50" s="1" customFormat="1" ht="24.95" customHeight="1" outlineLevel="3" x14ac:dyDescent="0.2">
      <c r="A1658" s="11"/>
      <c r="B1658" s="15">
        <v>1090</v>
      </c>
      <c r="C1658" s="15">
        <v>1590</v>
      </c>
      <c r="D1658" s="12">
        <v>1974</v>
      </c>
      <c r="E1658" s="13" t="s">
        <v>397</v>
      </c>
      <c r="F1658" s="13" t="s">
        <v>5382</v>
      </c>
      <c r="G1658" s="13" t="s">
        <v>86</v>
      </c>
      <c r="H1658" s="13" t="s">
        <v>40</v>
      </c>
      <c r="I1658" s="12">
        <v>2024</v>
      </c>
      <c r="J1658" s="13" t="s">
        <v>5383</v>
      </c>
      <c r="K1658" s="12">
        <v>9785916719086</v>
      </c>
      <c r="L1658" s="13" t="s">
        <v>5384</v>
      </c>
      <c r="M1658" s="12">
        <v>494</v>
      </c>
      <c r="N1658" s="14">
        <v>0.89</v>
      </c>
      <c r="O1658" s="12">
        <v>168</v>
      </c>
      <c r="P1658" s="12">
        <v>241</v>
      </c>
      <c r="Q1658" s="12">
        <v>6</v>
      </c>
      <c r="R1658" s="13" t="s">
        <v>94</v>
      </c>
      <c r="S1658" s="13"/>
      <c r="T1658" s="15">
        <v>3000</v>
      </c>
      <c r="U1658" s="13" t="s">
        <v>52</v>
      </c>
      <c r="V1658" s="13" t="s">
        <v>64</v>
      </c>
      <c r="W1658" s="12">
        <v>10</v>
      </c>
      <c r="X1658" s="33" t="str">
        <f>HYPERLINK("https://www.alpinabook.ru/catalog/book-yoga-dipika","ссылка на книгу")</f>
        <v>ссылка на книгу</v>
      </c>
      <c r="Y1658" s="34" t="str">
        <f>HYPERLINK("https://api-enni.alpina.ru/FilePrivilegesApproval/149","https://api-enni.alpina.ru/FilePrivilegesApproval/149")</f>
        <v>https://api-enni.alpina.ru/FilePrivilegesApproval/149</v>
      </c>
      <c r="Z1658" s="13"/>
      <c r="AT1658" s="1">
        <f>IF($A1658&lt;&gt;0,1,0)</f>
        <v>0</v>
      </c>
      <c r="AU1658" s="1">
        <f>$A1658*$B1658</f>
        <v>0</v>
      </c>
      <c r="AV1658" s="1">
        <f>$A1658*$N1658</f>
        <v>0</v>
      </c>
      <c r="AW1658" s="1">
        <f>IF($Q1658=0,0,INT($A1658/$Q1658))</f>
        <v>0</v>
      </c>
      <c r="AX1658" s="1">
        <f>$A1658-$AW1658*$Q1658</f>
        <v>0</v>
      </c>
    </row>
    <row r="1659" spans="1:50" s="1" customFormat="1" ht="24.95" customHeight="1" outlineLevel="3" x14ac:dyDescent="0.2">
      <c r="A1659" s="11"/>
      <c r="B1659" s="12">
        <v>990</v>
      </c>
      <c r="C1659" s="15">
        <v>1490</v>
      </c>
      <c r="D1659" s="12">
        <v>27656</v>
      </c>
      <c r="E1659" s="13" t="s">
        <v>397</v>
      </c>
      <c r="F1659" s="13" t="s">
        <v>5385</v>
      </c>
      <c r="G1659" s="13" t="s">
        <v>86</v>
      </c>
      <c r="H1659" s="13" t="s">
        <v>40</v>
      </c>
      <c r="I1659" s="12">
        <v>2022</v>
      </c>
      <c r="J1659" s="13" t="s">
        <v>5386</v>
      </c>
      <c r="K1659" s="12">
        <v>9785001399421</v>
      </c>
      <c r="L1659" s="13" t="s">
        <v>5387</v>
      </c>
      <c r="M1659" s="12">
        <v>328</v>
      </c>
      <c r="N1659" s="14">
        <v>0.52</v>
      </c>
      <c r="O1659" s="12">
        <v>170</v>
      </c>
      <c r="P1659" s="12">
        <v>240</v>
      </c>
      <c r="Q1659" s="12">
        <v>6</v>
      </c>
      <c r="R1659" s="13" t="s">
        <v>94</v>
      </c>
      <c r="S1659" s="13"/>
      <c r="T1659" s="15">
        <v>1000</v>
      </c>
      <c r="U1659" s="13" t="s">
        <v>44</v>
      </c>
      <c r="V1659" s="13" t="s">
        <v>59</v>
      </c>
      <c r="W1659" s="12">
        <v>10</v>
      </c>
      <c r="X1659" s="33" t="str">
        <f>HYPERLINK("https://www.alpinabook.ru/catalog/book-proyasnenie-pranayamy","ссылка на книгу")</f>
        <v>ссылка на книгу</v>
      </c>
      <c r="Y1659" s="34" t="str">
        <f>HYPERLINK("https://api-enni.alpina.ru/FilePrivilegesApproval/151","https://api-enni.alpina.ru/FilePrivilegesApproval/151")</f>
        <v>https://api-enni.alpina.ru/FilePrivilegesApproval/151</v>
      </c>
      <c r="Z1659" s="13"/>
      <c r="AT1659" s="1">
        <f>IF($A1659&lt;&gt;0,1,0)</f>
        <v>0</v>
      </c>
      <c r="AU1659" s="1">
        <f>$A1659*$B1659</f>
        <v>0</v>
      </c>
      <c r="AV1659" s="1">
        <f>$A1659*$N1659</f>
        <v>0</v>
      </c>
      <c r="AW1659" s="1">
        <f>IF($Q1659=0,0,INT($A1659/$Q1659))</f>
        <v>0</v>
      </c>
      <c r="AX1659" s="1">
        <f>$A1659-$AW1659*$Q1659</f>
        <v>0</v>
      </c>
    </row>
    <row r="1660" spans="1:50" s="1" customFormat="1" ht="24.95" customHeight="1" outlineLevel="3" x14ac:dyDescent="0.2">
      <c r="A1660" s="11"/>
      <c r="B1660" s="12">
        <v>890</v>
      </c>
      <c r="C1660" s="15">
        <v>1290</v>
      </c>
      <c r="D1660" s="12">
        <v>5221</v>
      </c>
      <c r="E1660" s="13" t="s">
        <v>397</v>
      </c>
      <c r="F1660" s="13" t="s">
        <v>5388</v>
      </c>
      <c r="G1660" s="13" t="s">
        <v>86</v>
      </c>
      <c r="H1660" s="13" t="s">
        <v>40</v>
      </c>
      <c r="I1660" s="12">
        <v>2025</v>
      </c>
      <c r="J1660" s="13" t="s">
        <v>5389</v>
      </c>
      <c r="K1660" s="12">
        <v>9785916718836</v>
      </c>
      <c r="L1660" s="13" t="s">
        <v>5390</v>
      </c>
      <c r="M1660" s="12">
        <v>222</v>
      </c>
      <c r="N1660" s="14">
        <v>0.5</v>
      </c>
      <c r="O1660" s="12">
        <v>171</v>
      </c>
      <c r="P1660" s="12">
        <v>241</v>
      </c>
      <c r="Q1660" s="12">
        <v>10</v>
      </c>
      <c r="R1660" s="13" t="s">
        <v>94</v>
      </c>
      <c r="S1660" s="13"/>
      <c r="T1660" s="15">
        <v>1000</v>
      </c>
      <c r="U1660" s="13" t="s">
        <v>52</v>
      </c>
      <c r="V1660" s="13" t="s">
        <v>59</v>
      </c>
      <c r="W1660" s="12">
        <v>10</v>
      </c>
      <c r="X1660" s="33" t="str">
        <f>HYPERLINK("https://www.alpinabook.ru/catalog/book-svet-zhizni","ссылка на книгу")</f>
        <v>ссылка на книгу</v>
      </c>
      <c r="Y1660" s="34" t="str">
        <f>HYPERLINK("https://api-enni.alpina.ru/FilePrivilegesApproval/131","https://api-enni.alpina.ru/FilePrivilegesApproval/131")</f>
        <v>https://api-enni.alpina.ru/FilePrivilegesApproval/131</v>
      </c>
      <c r="Z1660" s="13" t="s">
        <v>2940</v>
      </c>
      <c r="AT1660" s="1">
        <f>IF($A1660&lt;&gt;0,1,0)</f>
        <v>0</v>
      </c>
      <c r="AU1660" s="1">
        <f>$A1660*$B1660</f>
        <v>0</v>
      </c>
      <c r="AV1660" s="1">
        <f>$A1660*$N1660</f>
        <v>0</v>
      </c>
      <c r="AW1660" s="1">
        <f>IF($Q1660=0,0,INT($A1660/$Q1660))</f>
        <v>0</v>
      </c>
      <c r="AX1660" s="1">
        <f>$A1660-$AW1660*$Q1660</f>
        <v>0</v>
      </c>
    </row>
    <row r="1661" spans="1:50" ht="11.1" customHeight="1" outlineLevel="2" x14ac:dyDescent="0.2">
      <c r="A1661" s="40" t="s">
        <v>5391</v>
      </c>
      <c r="B1661" s="40"/>
      <c r="C1661" s="40"/>
      <c r="D1661" s="40"/>
      <c r="E1661" s="40"/>
      <c r="F1661" s="40"/>
      <c r="G1661" s="40"/>
      <c r="H1661" s="40"/>
      <c r="I1661" s="40"/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20"/>
    </row>
    <row r="1662" spans="1:50" s="1" customFormat="1" ht="24.95" customHeight="1" outlineLevel="3" x14ac:dyDescent="0.2">
      <c r="A1662" s="11"/>
      <c r="B1662" s="12">
        <v>790</v>
      </c>
      <c r="C1662" s="12">
        <v>990</v>
      </c>
      <c r="D1662" s="12">
        <v>18365</v>
      </c>
      <c r="E1662" s="13" t="s">
        <v>5392</v>
      </c>
      <c r="F1662" s="13" t="s">
        <v>5393</v>
      </c>
      <c r="G1662" s="13" t="s">
        <v>86</v>
      </c>
      <c r="H1662" s="13" t="s">
        <v>40</v>
      </c>
      <c r="I1662" s="12">
        <v>2022</v>
      </c>
      <c r="J1662" s="13" t="s">
        <v>5394</v>
      </c>
      <c r="K1662" s="12">
        <v>9785001395867</v>
      </c>
      <c r="L1662" s="13" t="s">
        <v>5395</v>
      </c>
      <c r="M1662" s="12">
        <v>352</v>
      </c>
      <c r="N1662" s="14">
        <v>0.43</v>
      </c>
      <c r="O1662" s="12">
        <v>141</v>
      </c>
      <c r="P1662" s="12">
        <v>210</v>
      </c>
      <c r="Q1662" s="12">
        <v>12</v>
      </c>
      <c r="R1662" s="13" t="s">
        <v>43</v>
      </c>
      <c r="S1662" s="13"/>
      <c r="T1662" s="15">
        <v>2000</v>
      </c>
      <c r="U1662" s="13" t="s">
        <v>44</v>
      </c>
      <c r="V1662" s="13" t="s">
        <v>59</v>
      </c>
      <c r="W1662" s="12">
        <v>10</v>
      </c>
      <c r="X1662" s="33" t="str">
        <f>HYPERLINK("https://www.alpinabook.ru/catalog/book-fashionopolis","ссылка на книгу")</f>
        <v>ссылка на книгу</v>
      </c>
      <c r="Y1662" s="34" t="str">
        <f>HYPERLINK("https://api-enni.alpina.ru/FilePrivilegesApproval/179","https://api-enni.alpina.ru/FilePrivilegesApproval/179")</f>
        <v>https://api-enni.alpina.ru/FilePrivilegesApproval/179</v>
      </c>
      <c r="Z1662" s="13"/>
      <c r="AT1662" s="1">
        <f t="shared" ref="AT1662:AT1668" si="308">IF($A1662&lt;&gt;0,1,0)</f>
        <v>0</v>
      </c>
      <c r="AU1662" s="1">
        <f t="shared" ref="AU1662:AU1668" si="309">$A1662*$B1662</f>
        <v>0</v>
      </c>
      <c r="AV1662" s="1">
        <f t="shared" ref="AV1662:AV1668" si="310">$A1662*$N1662</f>
        <v>0</v>
      </c>
      <c r="AW1662" s="1">
        <f t="shared" ref="AW1662:AW1668" si="311">IF($Q1662=0,0,INT($A1662/$Q1662))</f>
        <v>0</v>
      </c>
      <c r="AX1662" s="1">
        <f t="shared" ref="AX1662:AX1668" si="312">$A1662-$AW1662*$Q1662</f>
        <v>0</v>
      </c>
    </row>
    <row r="1663" spans="1:50" s="1" customFormat="1" ht="24.95" customHeight="1" outlineLevel="3" x14ac:dyDescent="0.2">
      <c r="A1663" s="11"/>
      <c r="B1663" s="12">
        <v>590</v>
      </c>
      <c r="C1663" s="12">
        <v>840</v>
      </c>
      <c r="D1663" s="12">
        <v>33924</v>
      </c>
      <c r="E1663" s="13" t="s">
        <v>60</v>
      </c>
      <c r="F1663" s="13" t="s">
        <v>61</v>
      </c>
      <c r="G1663" s="13" t="s">
        <v>56</v>
      </c>
      <c r="H1663" s="13"/>
      <c r="I1663" s="12">
        <v>2025</v>
      </c>
      <c r="J1663" s="13" t="s">
        <v>62</v>
      </c>
      <c r="K1663" s="12">
        <v>9785006306134</v>
      </c>
      <c r="L1663" s="13" t="s">
        <v>63</v>
      </c>
      <c r="M1663" s="12">
        <v>256</v>
      </c>
      <c r="N1663" s="14">
        <v>0.4</v>
      </c>
      <c r="O1663" s="12">
        <v>150</v>
      </c>
      <c r="P1663" s="12">
        <v>220</v>
      </c>
      <c r="Q1663" s="12">
        <v>8</v>
      </c>
      <c r="R1663" s="13" t="s">
        <v>43</v>
      </c>
      <c r="S1663" s="13"/>
      <c r="T1663" s="15">
        <v>1000</v>
      </c>
      <c r="U1663" s="13" t="s">
        <v>52</v>
      </c>
      <c r="V1663" s="13" t="s">
        <v>64</v>
      </c>
      <c r="W1663" s="12">
        <v>10</v>
      </c>
      <c r="X1663" s="33" t="str">
        <f>HYPERLINK("https://www.alpinabook.ru/catalog/book-v-predvkushenii-sebya","ссылка на книгу")</f>
        <v>ссылка на книгу</v>
      </c>
      <c r="Y1663" s="34" t="str">
        <f>HYPERLINK("https://api-enni.alpina.ru/FilePrivilegesApproval/2","https://api-enni.alpina.ru/FilePrivilegesApproval/2")</f>
        <v>https://api-enni.alpina.ru/FilePrivilegesApproval/2</v>
      </c>
      <c r="Z1663" s="13" t="s">
        <v>65</v>
      </c>
      <c r="AT1663" s="1">
        <f t="shared" si="308"/>
        <v>0</v>
      </c>
      <c r="AU1663" s="1">
        <f t="shared" si="309"/>
        <v>0</v>
      </c>
      <c r="AV1663" s="1">
        <f t="shared" si="310"/>
        <v>0</v>
      </c>
      <c r="AW1663" s="1">
        <f t="shared" si="311"/>
        <v>0</v>
      </c>
      <c r="AX1663" s="1">
        <f t="shared" si="312"/>
        <v>0</v>
      </c>
    </row>
    <row r="1664" spans="1:50" s="1" customFormat="1" ht="24.95" customHeight="1" outlineLevel="3" x14ac:dyDescent="0.2">
      <c r="A1664" s="11"/>
      <c r="B1664" s="12">
        <v>740</v>
      </c>
      <c r="C1664" s="12">
        <v>740</v>
      </c>
      <c r="D1664" s="12">
        <v>22528</v>
      </c>
      <c r="E1664" s="13" t="s">
        <v>5396</v>
      </c>
      <c r="F1664" s="13" t="s">
        <v>5397</v>
      </c>
      <c r="G1664" s="13" t="s">
        <v>56</v>
      </c>
      <c r="H1664" s="13"/>
      <c r="I1664" s="12">
        <v>2021</v>
      </c>
      <c r="J1664" s="13" t="s">
        <v>5398</v>
      </c>
      <c r="K1664" s="12">
        <v>9785961469387</v>
      </c>
      <c r="L1664" s="13" t="s">
        <v>5399</v>
      </c>
      <c r="M1664" s="12">
        <v>368</v>
      </c>
      <c r="N1664" s="14">
        <v>0.6</v>
      </c>
      <c r="O1664" s="12">
        <v>163</v>
      </c>
      <c r="P1664" s="12">
        <v>215</v>
      </c>
      <c r="Q1664" s="12">
        <v>8</v>
      </c>
      <c r="R1664" s="13" t="s">
        <v>100</v>
      </c>
      <c r="S1664" s="13"/>
      <c r="T1664" s="15">
        <v>3000</v>
      </c>
      <c r="U1664" s="13" t="s">
        <v>44</v>
      </c>
      <c r="V1664" s="13" t="s">
        <v>269</v>
      </c>
      <c r="W1664" s="12">
        <v>10</v>
      </c>
      <c r="X1664" s="33" t="str">
        <f>HYPERLINK("https://www.alpinabook.ru/catalog/book-719728","ссылка на книгу")</f>
        <v>ссылка на книгу</v>
      </c>
      <c r="Y1664" s="34" t="str">
        <f>HYPERLINK("https://api-enni.alpina.ru/FilePrivilegesApproval/111","https://api-enni.alpina.ru/FilePrivilegesApproval/111")</f>
        <v>https://api-enni.alpina.ru/FilePrivilegesApproval/111</v>
      </c>
      <c r="Z1664" s="13"/>
      <c r="AT1664" s="1">
        <f t="shared" si="308"/>
        <v>0</v>
      </c>
      <c r="AU1664" s="1">
        <f t="shared" si="309"/>
        <v>0</v>
      </c>
      <c r="AV1664" s="1">
        <f t="shared" si="310"/>
        <v>0</v>
      </c>
      <c r="AW1664" s="1">
        <f t="shared" si="311"/>
        <v>0</v>
      </c>
      <c r="AX1664" s="1">
        <f t="shared" si="312"/>
        <v>0</v>
      </c>
    </row>
    <row r="1665" spans="1:50" s="1" customFormat="1" ht="24.95" customHeight="1" outlineLevel="3" x14ac:dyDescent="0.2">
      <c r="A1665" s="11"/>
      <c r="B1665" s="12">
        <v>990</v>
      </c>
      <c r="C1665" s="15">
        <v>1490</v>
      </c>
      <c r="D1665" s="12">
        <v>28425</v>
      </c>
      <c r="E1665" s="13" t="s">
        <v>614</v>
      </c>
      <c r="F1665" s="13" t="s">
        <v>615</v>
      </c>
      <c r="G1665" s="13" t="s">
        <v>56</v>
      </c>
      <c r="H1665" s="13"/>
      <c r="I1665" s="12">
        <v>2025</v>
      </c>
      <c r="J1665" s="13" t="s">
        <v>616</v>
      </c>
      <c r="K1665" s="12">
        <v>9785961488920</v>
      </c>
      <c r="L1665" s="13" t="s">
        <v>617</v>
      </c>
      <c r="M1665" s="12">
        <v>362</v>
      </c>
      <c r="N1665" s="14">
        <v>0.59</v>
      </c>
      <c r="O1665" s="12">
        <v>160</v>
      </c>
      <c r="P1665" s="12">
        <v>220</v>
      </c>
      <c r="Q1665" s="12">
        <v>6</v>
      </c>
      <c r="R1665" s="13" t="s">
        <v>43</v>
      </c>
      <c r="S1665" s="13"/>
      <c r="T1665" s="15">
        <v>1500</v>
      </c>
      <c r="U1665" s="13" t="s">
        <v>44</v>
      </c>
      <c r="V1665" s="13" t="s">
        <v>64</v>
      </c>
      <c r="W1665" s="12">
        <v>10</v>
      </c>
      <c r="X1665" s="33" t="str">
        <f>HYPERLINK("https://www.alpinabook.ru/catalog/book-normalno-o-kosmetike","ссылка на книгу")</f>
        <v>ссылка на книгу</v>
      </c>
      <c r="Y1665" s="34" t="str">
        <f>HYPERLINK("https://api-enni.alpina.ru/FilePrivilegesApproval/264","https://api-enni.alpina.ru/FilePrivilegesApproval/264")</f>
        <v>https://api-enni.alpina.ru/FilePrivilegesApproval/264</v>
      </c>
      <c r="Z1665" s="13" t="s">
        <v>387</v>
      </c>
      <c r="AT1665" s="1">
        <f t="shared" si="308"/>
        <v>0</v>
      </c>
      <c r="AU1665" s="1">
        <f t="shared" si="309"/>
        <v>0</v>
      </c>
      <c r="AV1665" s="1">
        <f t="shared" si="310"/>
        <v>0</v>
      </c>
      <c r="AW1665" s="1">
        <f t="shared" si="311"/>
        <v>0</v>
      </c>
      <c r="AX1665" s="1">
        <f t="shared" si="312"/>
        <v>0</v>
      </c>
    </row>
    <row r="1666" spans="1:50" s="1" customFormat="1" ht="24.95" customHeight="1" outlineLevel="3" x14ac:dyDescent="0.2">
      <c r="A1666" s="11"/>
      <c r="B1666" s="12">
        <v>640</v>
      </c>
      <c r="C1666" s="12">
        <v>940</v>
      </c>
      <c r="D1666" s="12">
        <v>30474</v>
      </c>
      <c r="E1666" s="13" t="s">
        <v>5400</v>
      </c>
      <c r="F1666" s="13" t="s">
        <v>5401</v>
      </c>
      <c r="G1666" s="13" t="s">
        <v>97</v>
      </c>
      <c r="H1666" s="13"/>
      <c r="I1666" s="12">
        <v>2025</v>
      </c>
      <c r="J1666" s="13" t="s">
        <v>5402</v>
      </c>
      <c r="K1666" s="12">
        <v>9785206003307</v>
      </c>
      <c r="L1666" s="13" t="s">
        <v>5403</v>
      </c>
      <c r="M1666" s="12">
        <v>192</v>
      </c>
      <c r="N1666" s="14">
        <v>0.26</v>
      </c>
      <c r="O1666" s="12">
        <v>140</v>
      </c>
      <c r="P1666" s="12">
        <v>210</v>
      </c>
      <c r="Q1666" s="12">
        <v>18</v>
      </c>
      <c r="R1666" s="13" t="s">
        <v>43</v>
      </c>
      <c r="S1666" s="13"/>
      <c r="T1666" s="15">
        <v>1500</v>
      </c>
      <c r="U1666" s="13" t="s">
        <v>44</v>
      </c>
      <c r="V1666" s="13" t="s">
        <v>45</v>
      </c>
      <c r="W1666" s="12">
        <v>10</v>
      </c>
      <c r="X1666" s="33" t="str">
        <f>HYPERLINK("https://www.alpinabook.ru/catalog/book-plokhie-devochki-ne-khudeyut","ссылка на книгу")</f>
        <v>ссылка на книгу</v>
      </c>
      <c r="Y1666" s="34" t="str">
        <f>HYPERLINK("https://api-enni.alpina.ru/FilePrivilegesApproval/538","https://api-enni.alpina.ru/FilePrivilegesApproval/538")</f>
        <v>https://api-enni.alpina.ru/FilePrivilegesApproval/538</v>
      </c>
      <c r="Z1666" s="13"/>
      <c r="AT1666" s="1">
        <f t="shared" si="308"/>
        <v>0</v>
      </c>
      <c r="AU1666" s="1">
        <f t="shared" si="309"/>
        <v>0</v>
      </c>
      <c r="AV1666" s="1">
        <f t="shared" si="310"/>
        <v>0</v>
      </c>
      <c r="AW1666" s="1">
        <f t="shared" si="311"/>
        <v>0</v>
      </c>
      <c r="AX1666" s="1">
        <f t="shared" si="312"/>
        <v>0</v>
      </c>
    </row>
    <row r="1667" spans="1:50" s="1" customFormat="1" ht="24.95" customHeight="1" outlineLevel="3" x14ac:dyDescent="0.2">
      <c r="A1667" s="11"/>
      <c r="B1667" s="12">
        <v>690</v>
      </c>
      <c r="C1667" s="12">
        <v>790</v>
      </c>
      <c r="D1667" s="12">
        <v>24086</v>
      </c>
      <c r="E1667" s="13" t="s">
        <v>5404</v>
      </c>
      <c r="F1667" s="13" t="s">
        <v>5405</v>
      </c>
      <c r="G1667" s="13" t="s">
        <v>97</v>
      </c>
      <c r="H1667" s="13"/>
      <c r="I1667" s="12">
        <v>2023</v>
      </c>
      <c r="J1667" s="13" t="s">
        <v>5406</v>
      </c>
      <c r="K1667" s="12">
        <v>9785206000252</v>
      </c>
      <c r="L1667" s="13" t="s">
        <v>5407</v>
      </c>
      <c r="M1667" s="12">
        <v>182</v>
      </c>
      <c r="N1667" s="14">
        <v>0.37</v>
      </c>
      <c r="O1667" s="12">
        <v>146</v>
      </c>
      <c r="P1667" s="12">
        <v>216</v>
      </c>
      <c r="Q1667" s="12">
        <v>12</v>
      </c>
      <c r="R1667" s="13" t="s">
        <v>43</v>
      </c>
      <c r="S1667" s="13"/>
      <c r="T1667" s="15">
        <v>2000</v>
      </c>
      <c r="U1667" s="13" t="s">
        <v>52</v>
      </c>
      <c r="V1667" s="13" t="s">
        <v>59</v>
      </c>
      <c r="W1667" s="12">
        <v>10</v>
      </c>
      <c r="X1667" s="33" t="str">
        <f>HYPERLINK("https://www.alpinabook.ru/catalog/book-evolyutsiya-obraza-glazami-grimera","ссылка на книгу")</f>
        <v>ссылка на книгу</v>
      </c>
      <c r="Y1667" s="34" t="str">
        <f>HYPERLINK("https://api-enni.alpina.ru/FilePrivilegesApproval/170","https://api-enni.alpina.ru/FilePrivilegesApproval/170")</f>
        <v>https://api-enni.alpina.ru/FilePrivilegesApproval/170</v>
      </c>
      <c r="Z1667" s="13"/>
      <c r="AT1667" s="1">
        <f t="shared" si="308"/>
        <v>0</v>
      </c>
      <c r="AU1667" s="1">
        <f t="shared" si="309"/>
        <v>0</v>
      </c>
      <c r="AV1667" s="1">
        <f t="shared" si="310"/>
        <v>0</v>
      </c>
      <c r="AW1667" s="1">
        <f t="shared" si="311"/>
        <v>0</v>
      </c>
      <c r="AX1667" s="1">
        <f t="shared" si="312"/>
        <v>0</v>
      </c>
    </row>
    <row r="1668" spans="1:50" s="1" customFormat="1" ht="24.95" customHeight="1" outlineLevel="3" x14ac:dyDescent="0.2">
      <c r="A1668" s="11"/>
      <c r="B1668" s="15">
        <v>1090</v>
      </c>
      <c r="C1668" s="15">
        <v>1490</v>
      </c>
      <c r="D1668" s="12">
        <v>943</v>
      </c>
      <c r="E1668" s="13" t="s">
        <v>5408</v>
      </c>
      <c r="F1668" s="13" t="s">
        <v>5409</v>
      </c>
      <c r="G1668" s="13" t="s">
        <v>86</v>
      </c>
      <c r="H1668" s="13"/>
      <c r="I1668" s="12">
        <v>2024</v>
      </c>
      <c r="J1668" s="13" t="s">
        <v>5410</v>
      </c>
      <c r="K1668" s="12">
        <v>9785916717587</v>
      </c>
      <c r="L1668" s="13" t="s">
        <v>5411</v>
      </c>
      <c r="M1668" s="12">
        <v>560</v>
      </c>
      <c r="N1668" s="14">
        <v>0.64</v>
      </c>
      <c r="O1668" s="12">
        <v>140</v>
      </c>
      <c r="P1668" s="12">
        <v>220</v>
      </c>
      <c r="Q1668" s="12">
        <v>8</v>
      </c>
      <c r="R1668" s="13" t="s">
        <v>43</v>
      </c>
      <c r="S1668" s="13"/>
      <c r="T1668" s="15">
        <v>1500</v>
      </c>
      <c r="U1668" s="13" t="s">
        <v>52</v>
      </c>
      <c r="V1668" s="13" t="s">
        <v>64</v>
      </c>
      <c r="W1668" s="12">
        <v>10</v>
      </c>
      <c r="X1668" s="33" t="str">
        <f>HYPERLINK("https://www.alpinabook.ru/catalog/book-etyudy-o-mode-i-stile","ссылка на книгу")</f>
        <v>ссылка на книгу</v>
      </c>
      <c r="Y1668" s="34" t="str">
        <f>HYPERLINK("https://api-enni.alpina.ru/FilePrivilegesApproval/2","https://api-enni.alpina.ru/FilePrivilegesApproval/2")</f>
        <v>https://api-enni.alpina.ru/FilePrivilegesApproval/2</v>
      </c>
      <c r="Z1668" s="13"/>
      <c r="AT1668" s="1">
        <f t="shared" si="308"/>
        <v>0</v>
      </c>
      <c r="AU1668" s="1">
        <f t="shared" si="309"/>
        <v>0</v>
      </c>
      <c r="AV1668" s="1">
        <f t="shared" si="310"/>
        <v>0</v>
      </c>
      <c r="AW1668" s="1">
        <f t="shared" si="311"/>
        <v>0</v>
      </c>
      <c r="AX1668" s="1">
        <f t="shared" si="312"/>
        <v>0</v>
      </c>
    </row>
    <row r="1669" spans="1:50" ht="11.1" customHeight="1" outlineLevel="2" x14ac:dyDescent="0.2">
      <c r="A1669" s="40" t="s">
        <v>5412</v>
      </c>
      <c r="B1669" s="40"/>
      <c r="C1669" s="40"/>
      <c r="D1669" s="40"/>
      <c r="E1669" s="40"/>
      <c r="F1669" s="40"/>
      <c r="G1669" s="40"/>
      <c r="H1669" s="40"/>
      <c r="I1669" s="40"/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20"/>
    </row>
    <row r="1670" spans="1:50" s="1" customFormat="1" ht="24.95" customHeight="1" outlineLevel="3" x14ac:dyDescent="0.2">
      <c r="A1670" s="26"/>
      <c r="B1670" s="27">
        <v>520</v>
      </c>
      <c r="C1670" s="27">
        <v>520</v>
      </c>
      <c r="D1670" s="27">
        <v>8878</v>
      </c>
      <c r="E1670" s="29" t="s">
        <v>5413</v>
      </c>
      <c r="F1670" s="29" t="s">
        <v>5414</v>
      </c>
      <c r="G1670" s="29" t="s">
        <v>56</v>
      </c>
      <c r="H1670" s="29" t="s">
        <v>40</v>
      </c>
      <c r="I1670" s="26"/>
      <c r="J1670" s="29" t="s">
        <v>5415</v>
      </c>
      <c r="K1670" s="27">
        <v>9785961413847</v>
      </c>
      <c r="L1670" s="29" t="s">
        <v>5416</v>
      </c>
      <c r="M1670" s="27">
        <v>160</v>
      </c>
      <c r="N1670" s="30">
        <v>0.34</v>
      </c>
      <c r="O1670" s="27">
        <v>146</v>
      </c>
      <c r="P1670" s="27">
        <v>206</v>
      </c>
      <c r="Q1670" s="27">
        <v>16</v>
      </c>
      <c r="R1670" s="29" t="s">
        <v>43</v>
      </c>
      <c r="S1670" s="29"/>
      <c r="T1670" s="28">
        <v>3000</v>
      </c>
      <c r="U1670" s="29" t="s">
        <v>52</v>
      </c>
      <c r="V1670" s="29" t="s">
        <v>89</v>
      </c>
      <c r="W1670" s="27">
        <v>10</v>
      </c>
      <c r="X1670" s="37" t="str">
        <f>HYPERLINK("https://www.alpinabook.ru/catalog/book-468870","ссылка на книгу")</f>
        <v>ссылка на книгу</v>
      </c>
      <c r="Y1670" s="38" t="str">
        <f>HYPERLINK("https://api-enni.alpina.ru/FilePrivilegesApproval/2","https://api-enni.alpina.ru/FilePrivilegesApproval/2")</f>
        <v>https://api-enni.alpina.ru/FilePrivilegesApproval/2</v>
      </c>
      <c r="Z1670" s="29"/>
      <c r="AT1670" s="1">
        <f t="shared" ref="AT1670:AT1680" si="313">IF($A1670&lt;&gt;0,1,0)</f>
        <v>0</v>
      </c>
      <c r="AU1670" s="1">
        <f t="shared" ref="AU1670:AU1680" si="314">$A1670*$B1670</f>
        <v>0</v>
      </c>
      <c r="AV1670" s="1">
        <f t="shared" ref="AV1670:AV1680" si="315">$A1670*$N1670</f>
        <v>0</v>
      </c>
      <c r="AW1670" s="1">
        <f t="shared" ref="AW1670:AW1680" si="316">IF($Q1670=0,0,INT($A1670/$Q1670))</f>
        <v>0</v>
      </c>
      <c r="AX1670" s="1">
        <f t="shared" ref="AX1670:AX1680" si="317">$A1670-$AW1670*$Q1670</f>
        <v>0</v>
      </c>
    </row>
    <row r="1671" spans="1:50" s="1" customFormat="1" ht="24.95" customHeight="1" outlineLevel="3" x14ac:dyDescent="0.2">
      <c r="A1671" s="11"/>
      <c r="B1671" s="15">
        <v>2040</v>
      </c>
      <c r="C1671" s="15">
        <v>2590</v>
      </c>
      <c r="D1671" s="12">
        <v>28117</v>
      </c>
      <c r="E1671" s="13" t="s">
        <v>5417</v>
      </c>
      <c r="F1671" s="13" t="s">
        <v>5418</v>
      </c>
      <c r="G1671" s="13" t="s">
        <v>97</v>
      </c>
      <c r="H1671" s="13"/>
      <c r="I1671" s="12">
        <v>2025</v>
      </c>
      <c r="J1671" s="13" t="s">
        <v>5419</v>
      </c>
      <c r="K1671" s="12">
        <v>9785206001938</v>
      </c>
      <c r="L1671" s="13" t="s">
        <v>5420</v>
      </c>
      <c r="M1671" s="12">
        <v>352</v>
      </c>
      <c r="N1671" s="14">
        <v>1.1499999999999999</v>
      </c>
      <c r="O1671" s="12">
        <v>210</v>
      </c>
      <c r="P1671" s="12">
        <v>270</v>
      </c>
      <c r="Q1671" s="12">
        <v>4</v>
      </c>
      <c r="R1671" s="13" t="s">
        <v>300</v>
      </c>
      <c r="S1671" s="13"/>
      <c r="T1671" s="15">
        <v>2000</v>
      </c>
      <c r="U1671" s="13" t="s">
        <v>52</v>
      </c>
      <c r="V1671" s="13" t="s">
        <v>89</v>
      </c>
      <c r="W1671" s="12">
        <v>10</v>
      </c>
      <c r="X1671" s="33" t="str">
        <f>HYPERLINK("https://www.alpinabook.ru/catalog/book-vinologiya","ссылка на книгу")</f>
        <v>ссылка на книгу</v>
      </c>
      <c r="Y1671" s="34" t="str">
        <f>HYPERLINK("https://api-enni.alpina.ru/FilePrivilegesApproval/538","https://api-enni.alpina.ru/FilePrivilegesApproval/538")</f>
        <v>https://api-enni.alpina.ru/FilePrivilegesApproval/538</v>
      </c>
      <c r="Z1671" s="13" t="s">
        <v>46</v>
      </c>
      <c r="AT1671" s="1">
        <f t="shared" si="313"/>
        <v>0</v>
      </c>
      <c r="AU1671" s="1">
        <f t="shared" si="314"/>
        <v>0</v>
      </c>
      <c r="AV1671" s="1">
        <f t="shared" si="315"/>
        <v>0</v>
      </c>
      <c r="AW1671" s="1">
        <f t="shared" si="316"/>
        <v>0</v>
      </c>
      <c r="AX1671" s="1">
        <f t="shared" si="317"/>
        <v>0</v>
      </c>
    </row>
    <row r="1672" spans="1:50" s="1" customFormat="1" ht="24.95" customHeight="1" outlineLevel="3" x14ac:dyDescent="0.2">
      <c r="A1672" s="11"/>
      <c r="B1672" s="12">
        <v>490</v>
      </c>
      <c r="C1672" s="12">
        <v>740</v>
      </c>
      <c r="D1672" s="12">
        <v>6526</v>
      </c>
      <c r="E1672" s="13" t="s">
        <v>445</v>
      </c>
      <c r="F1672" s="13" t="s">
        <v>446</v>
      </c>
      <c r="G1672" s="13" t="s">
        <v>56</v>
      </c>
      <c r="H1672" s="13"/>
      <c r="I1672" s="12">
        <v>2025</v>
      </c>
      <c r="J1672" s="13" t="s">
        <v>447</v>
      </c>
      <c r="K1672" s="12">
        <v>9785961468915</v>
      </c>
      <c r="L1672" s="13" t="s">
        <v>448</v>
      </c>
      <c r="M1672" s="12">
        <v>336</v>
      </c>
      <c r="N1672" s="14">
        <v>0.44</v>
      </c>
      <c r="O1672" s="12">
        <v>140</v>
      </c>
      <c r="P1672" s="12">
        <v>210</v>
      </c>
      <c r="Q1672" s="12">
        <v>10</v>
      </c>
      <c r="R1672" s="13" t="s">
        <v>43</v>
      </c>
      <c r="S1672" s="13"/>
      <c r="T1672" s="15">
        <v>1000</v>
      </c>
      <c r="U1672" s="13" t="s">
        <v>44</v>
      </c>
      <c r="V1672" s="13" t="s">
        <v>64</v>
      </c>
      <c r="W1672" s="12">
        <v>10</v>
      </c>
      <c r="X1672" s="33" t="str">
        <f>HYPERLINK("https://www.alpinabook.ru/catalog/book-izgnannye-v-sad","ссылка на книгу")</f>
        <v>ссылка на книгу</v>
      </c>
      <c r="Y1672" s="34" t="str">
        <f>HYPERLINK("https://api-enni.alpina.ru/FilePrivilegesApproval/141","https://api-enni.alpina.ru/FilePrivilegesApproval/141")</f>
        <v>https://api-enni.alpina.ru/FilePrivilegesApproval/141</v>
      </c>
      <c r="Z1672" s="13" t="s">
        <v>77</v>
      </c>
      <c r="AT1672" s="1">
        <f t="shared" si="313"/>
        <v>0</v>
      </c>
      <c r="AU1672" s="1">
        <f t="shared" si="314"/>
        <v>0</v>
      </c>
      <c r="AV1672" s="1">
        <f t="shared" si="315"/>
        <v>0</v>
      </c>
      <c r="AW1672" s="1">
        <f t="shared" si="316"/>
        <v>0</v>
      </c>
      <c r="AX1672" s="1">
        <f t="shared" si="317"/>
        <v>0</v>
      </c>
    </row>
    <row r="1673" spans="1:50" s="1" customFormat="1" ht="24.95" customHeight="1" outlineLevel="3" x14ac:dyDescent="0.2">
      <c r="A1673" s="11"/>
      <c r="B1673" s="12">
        <v>790</v>
      </c>
      <c r="C1673" s="15">
        <v>1190</v>
      </c>
      <c r="D1673" s="12">
        <v>23303</v>
      </c>
      <c r="E1673" s="13" t="s">
        <v>5421</v>
      </c>
      <c r="F1673" s="13" t="s">
        <v>5422</v>
      </c>
      <c r="G1673" s="13" t="s">
        <v>86</v>
      </c>
      <c r="H1673" s="13" t="s">
        <v>40</v>
      </c>
      <c r="I1673" s="12">
        <v>2023</v>
      </c>
      <c r="J1673" s="13" t="s">
        <v>5423</v>
      </c>
      <c r="K1673" s="12">
        <v>9785001394655</v>
      </c>
      <c r="L1673" s="13" t="s">
        <v>5424</v>
      </c>
      <c r="M1673" s="12">
        <v>436</v>
      </c>
      <c r="N1673" s="14">
        <v>0.51</v>
      </c>
      <c r="O1673" s="12">
        <v>150</v>
      </c>
      <c r="P1673" s="12">
        <v>220</v>
      </c>
      <c r="Q1673" s="12">
        <v>8</v>
      </c>
      <c r="R1673" s="13" t="s">
        <v>43</v>
      </c>
      <c r="S1673" s="13"/>
      <c r="T1673" s="15">
        <v>3000</v>
      </c>
      <c r="U1673" s="13" t="s">
        <v>52</v>
      </c>
      <c r="V1673" s="13" t="s">
        <v>59</v>
      </c>
      <c r="W1673" s="12">
        <v>10</v>
      </c>
      <c r="X1673" s="33" t="str">
        <f>HYPERLINK("https://www.alpinabook.ru/catalog/book-obshchestvo-pogloshcheniya","ссылка на книгу")</f>
        <v>ссылка на книгу</v>
      </c>
      <c r="Y1673" s="34" t="str">
        <f>HYPERLINK("https://api-enni.alpina.ru/FilePrivilegesApproval/225","https://api-enni.alpina.ru/FilePrivilegesApproval/225")</f>
        <v>https://api-enni.alpina.ru/FilePrivilegesApproval/225</v>
      </c>
      <c r="Z1673" s="13"/>
      <c r="AT1673" s="1">
        <f t="shared" si="313"/>
        <v>0</v>
      </c>
      <c r="AU1673" s="1">
        <f t="shared" si="314"/>
        <v>0</v>
      </c>
      <c r="AV1673" s="1">
        <f t="shared" si="315"/>
        <v>0</v>
      </c>
      <c r="AW1673" s="1">
        <f t="shared" si="316"/>
        <v>0</v>
      </c>
      <c r="AX1673" s="1">
        <f t="shared" si="317"/>
        <v>0</v>
      </c>
    </row>
    <row r="1674" spans="1:50" s="1" customFormat="1" ht="24.95" customHeight="1" outlineLevel="3" x14ac:dyDescent="0.2">
      <c r="A1674" s="11"/>
      <c r="B1674" s="12">
        <v>290</v>
      </c>
      <c r="C1674" s="12">
        <v>440</v>
      </c>
      <c r="D1674" s="12">
        <v>29256</v>
      </c>
      <c r="E1674" s="13" t="s">
        <v>5425</v>
      </c>
      <c r="F1674" s="13" t="s">
        <v>5426</v>
      </c>
      <c r="G1674" s="13" t="s">
        <v>56</v>
      </c>
      <c r="H1674" s="13"/>
      <c r="I1674" s="12">
        <v>2025</v>
      </c>
      <c r="J1674" s="13" t="s">
        <v>5427</v>
      </c>
      <c r="K1674" s="12">
        <v>9785961491890</v>
      </c>
      <c r="L1674" s="13" t="s">
        <v>5428</v>
      </c>
      <c r="M1674" s="12">
        <v>320</v>
      </c>
      <c r="N1674" s="14">
        <v>0.21</v>
      </c>
      <c r="O1674" s="12">
        <v>110</v>
      </c>
      <c r="P1674" s="12">
        <v>170</v>
      </c>
      <c r="Q1674" s="12">
        <v>20</v>
      </c>
      <c r="R1674" s="13" t="s">
        <v>75</v>
      </c>
      <c r="S1674" s="13" t="s">
        <v>253</v>
      </c>
      <c r="T1674" s="15">
        <v>2000</v>
      </c>
      <c r="U1674" s="13" t="s">
        <v>44</v>
      </c>
      <c r="V1674" s="13" t="s">
        <v>64</v>
      </c>
      <c r="W1674" s="12">
        <v>10</v>
      </c>
      <c r="X1674" s="33" t="str">
        <f>HYPERLINK("https://www.alpinabook.ru/catalog/book-pomiris-s-edoy","ссылка на книгу")</f>
        <v>ссылка на книгу</v>
      </c>
      <c r="Y1674" s="34" t="str">
        <f>HYPERLINK("https://api-enni.alpina.ru/FilePrivilegesApproval/162","https://api-enni.alpina.ru/FilePrivilegesApproval/162")</f>
        <v>https://api-enni.alpina.ru/FilePrivilegesApproval/162</v>
      </c>
      <c r="Z1674" s="13"/>
      <c r="AT1674" s="1">
        <f t="shared" si="313"/>
        <v>0</v>
      </c>
      <c r="AU1674" s="1">
        <f t="shared" si="314"/>
        <v>0</v>
      </c>
      <c r="AV1674" s="1">
        <f t="shared" si="315"/>
        <v>0</v>
      </c>
      <c r="AW1674" s="1">
        <f t="shared" si="316"/>
        <v>0</v>
      </c>
      <c r="AX1674" s="1">
        <f t="shared" si="317"/>
        <v>0</v>
      </c>
    </row>
    <row r="1675" spans="1:50" s="1" customFormat="1" ht="24.95" customHeight="1" outlineLevel="3" x14ac:dyDescent="0.2">
      <c r="A1675" s="11"/>
      <c r="B1675" s="12">
        <v>690</v>
      </c>
      <c r="C1675" s="12">
        <v>790</v>
      </c>
      <c r="D1675" s="12">
        <v>4849</v>
      </c>
      <c r="E1675" s="13" t="s">
        <v>5429</v>
      </c>
      <c r="F1675" s="13" t="s">
        <v>5430</v>
      </c>
      <c r="G1675" s="13" t="s">
        <v>56</v>
      </c>
      <c r="H1675" s="13"/>
      <c r="I1675" s="12">
        <v>2025</v>
      </c>
      <c r="J1675" s="13" t="s">
        <v>5431</v>
      </c>
      <c r="K1675" s="12">
        <v>9785961463453</v>
      </c>
      <c r="L1675" s="13" t="s">
        <v>5432</v>
      </c>
      <c r="M1675" s="12">
        <v>240</v>
      </c>
      <c r="N1675" s="14">
        <v>0.26</v>
      </c>
      <c r="O1675" s="12">
        <v>142</v>
      </c>
      <c r="P1675" s="12">
        <v>200</v>
      </c>
      <c r="Q1675" s="12">
        <v>14</v>
      </c>
      <c r="R1675" s="13" t="s">
        <v>94</v>
      </c>
      <c r="S1675" s="13"/>
      <c r="T1675" s="15">
        <v>1500</v>
      </c>
      <c r="U1675" s="13" t="s">
        <v>44</v>
      </c>
      <c r="V1675" s="13" t="s">
        <v>64</v>
      </c>
      <c r="W1675" s="12">
        <v>10</v>
      </c>
      <c r="X1675" s="33" t="str">
        <f>HYPERLINK("https://www.alpinabook.ru/catalog/book-sam-sebe-shef-povar","ссылка на книгу")</f>
        <v>ссылка на книгу</v>
      </c>
      <c r="Y1675" s="34" t="str">
        <f>HYPERLINK("https://api-enni.alpina.ru/FilePrivilegesApproval/2","https://api-enni.alpina.ru/FilePrivilegesApproval/2")</f>
        <v>https://api-enni.alpina.ru/FilePrivilegesApproval/2</v>
      </c>
      <c r="Z1675" s="13" t="s">
        <v>865</v>
      </c>
      <c r="AT1675" s="1">
        <f t="shared" si="313"/>
        <v>0</v>
      </c>
      <c r="AU1675" s="1">
        <f t="shared" si="314"/>
        <v>0</v>
      </c>
      <c r="AV1675" s="1">
        <f t="shared" si="315"/>
        <v>0</v>
      </c>
      <c r="AW1675" s="1">
        <f t="shared" si="316"/>
        <v>0</v>
      </c>
      <c r="AX1675" s="1">
        <f t="shared" si="317"/>
        <v>0</v>
      </c>
    </row>
    <row r="1676" spans="1:50" s="1" customFormat="1" ht="24.95" customHeight="1" outlineLevel="3" x14ac:dyDescent="0.2">
      <c r="A1676" s="11"/>
      <c r="B1676" s="12">
        <v>930</v>
      </c>
      <c r="C1676" s="15">
        <v>1390</v>
      </c>
      <c r="D1676" s="12">
        <v>22692</v>
      </c>
      <c r="E1676" s="13" t="s">
        <v>5433</v>
      </c>
      <c r="F1676" s="13" t="s">
        <v>5434</v>
      </c>
      <c r="G1676" s="13" t="s">
        <v>97</v>
      </c>
      <c r="H1676" s="13" t="s">
        <v>40</v>
      </c>
      <c r="I1676" s="12">
        <v>2025</v>
      </c>
      <c r="J1676" s="13" t="s">
        <v>5435</v>
      </c>
      <c r="K1676" s="12">
        <v>9785907394605</v>
      </c>
      <c r="L1676" s="13" t="s">
        <v>5436</v>
      </c>
      <c r="M1676" s="12">
        <v>502</v>
      </c>
      <c r="N1676" s="14">
        <v>0.8</v>
      </c>
      <c r="O1676" s="12">
        <v>170</v>
      </c>
      <c r="P1676" s="12">
        <v>240</v>
      </c>
      <c r="Q1676" s="12">
        <v>5</v>
      </c>
      <c r="R1676" s="13" t="s">
        <v>94</v>
      </c>
      <c r="S1676" s="13"/>
      <c r="T1676" s="15">
        <v>1000</v>
      </c>
      <c r="U1676" s="13" t="s">
        <v>44</v>
      </c>
      <c r="V1676" s="13" t="s">
        <v>59</v>
      </c>
      <c r="W1676" s="12">
        <v>10</v>
      </c>
      <c r="X1676" s="33" t="str">
        <f>HYPERLINK("https://www.alpinabook.ru/catalog/book-sportivnoe-pitanie-dlya-professionalov-i-lyubiteley","ссылка на книгу")</f>
        <v>ссылка на книгу</v>
      </c>
      <c r="Y1676" s="34" t="str">
        <f>HYPERLINK("https://api-enni.alpina.ru/FilePrivilegesApproval/116","https://api-enni.alpina.ru/FilePrivilegesApproval/116")</f>
        <v>https://api-enni.alpina.ru/FilePrivilegesApproval/116</v>
      </c>
      <c r="Z1676" s="13" t="s">
        <v>954</v>
      </c>
      <c r="AT1676" s="1">
        <f t="shared" si="313"/>
        <v>0</v>
      </c>
      <c r="AU1676" s="1">
        <f t="shared" si="314"/>
        <v>0</v>
      </c>
      <c r="AV1676" s="1">
        <f t="shared" si="315"/>
        <v>0</v>
      </c>
      <c r="AW1676" s="1">
        <f t="shared" si="316"/>
        <v>0</v>
      </c>
      <c r="AX1676" s="1">
        <f t="shared" si="317"/>
        <v>0</v>
      </c>
    </row>
    <row r="1677" spans="1:50" s="1" customFormat="1" ht="24.95" customHeight="1" outlineLevel="3" x14ac:dyDescent="0.2">
      <c r="A1677" s="11"/>
      <c r="B1677" s="12">
        <v>340</v>
      </c>
      <c r="C1677" s="12">
        <v>540</v>
      </c>
      <c r="D1677" s="12">
        <v>27128</v>
      </c>
      <c r="E1677" s="13" t="s">
        <v>740</v>
      </c>
      <c r="F1677" s="13" t="s">
        <v>741</v>
      </c>
      <c r="G1677" s="13" t="s">
        <v>56</v>
      </c>
      <c r="H1677" s="13" t="s">
        <v>40</v>
      </c>
      <c r="I1677" s="12">
        <v>2025</v>
      </c>
      <c r="J1677" s="13" t="s">
        <v>742</v>
      </c>
      <c r="K1677" s="12">
        <v>9785961484076</v>
      </c>
      <c r="L1677" s="13" t="s">
        <v>743</v>
      </c>
      <c r="M1677" s="12">
        <v>444</v>
      </c>
      <c r="N1677" s="14">
        <v>0.28999999999999998</v>
      </c>
      <c r="O1677" s="12">
        <v>120</v>
      </c>
      <c r="P1677" s="12">
        <v>170</v>
      </c>
      <c r="Q1677" s="12">
        <v>14</v>
      </c>
      <c r="R1677" s="13" t="s">
        <v>75</v>
      </c>
      <c r="S1677" s="13" t="s">
        <v>253</v>
      </c>
      <c r="T1677" s="15">
        <v>2000</v>
      </c>
      <c r="U1677" s="13" t="s">
        <v>44</v>
      </c>
      <c r="V1677" s="13" t="s">
        <v>64</v>
      </c>
      <c r="W1677" s="12">
        <v>10</v>
      </c>
      <c r="X1677" s="33" t="str">
        <f>HYPERLINK("https://www.alpinabook.ru/catalog/book-sportivnoe-pitanie","ссылка на книгу")</f>
        <v>ссылка на книгу</v>
      </c>
      <c r="Y1677" s="34" t="str">
        <f>HYPERLINK("https://api-enni.alpina.ru/FilePrivilegesApproval/177","https://api-enni.alpina.ru/FilePrivilegesApproval/177")</f>
        <v>https://api-enni.alpina.ru/FilePrivilegesApproval/177</v>
      </c>
      <c r="Z1677" s="13" t="s">
        <v>70</v>
      </c>
      <c r="AT1677" s="1">
        <f t="shared" si="313"/>
        <v>0</v>
      </c>
      <c r="AU1677" s="1">
        <f t="shared" si="314"/>
        <v>0</v>
      </c>
      <c r="AV1677" s="1">
        <f t="shared" si="315"/>
        <v>0</v>
      </c>
      <c r="AW1677" s="1">
        <f t="shared" si="316"/>
        <v>0</v>
      </c>
      <c r="AX1677" s="1">
        <f t="shared" si="317"/>
        <v>0</v>
      </c>
    </row>
    <row r="1678" spans="1:50" s="1" customFormat="1" ht="24.95" customHeight="1" outlineLevel="3" x14ac:dyDescent="0.2">
      <c r="A1678" s="11"/>
      <c r="B1678" s="12">
        <v>440</v>
      </c>
      <c r="C1678" s="12">
        <v>590</v>
      </c>
      <c r="D1678" s="12">
        <v>3571</v>
      </c>
      <c r="E1678" s="13" t="s">
        <v>5437</v>
      </c>
      <c r="F1678" s="13" t="s">
        <v>5438</v>
      </c>
      <c r="G1678" s="13" t="s">
        <v>56</v>
      </c>
      <c r="H1678" s="13"/>
      <c r="I1678" s="12">
        <v>2023</v>
      </c>
      <c r="J1678" s="13" t="s">
        <v>5439</v>
      </c>
      <c r="K1678" s="12">
        <v>9785961463880</v>
      </c>
      <c r="L1678" s="13" t="s">
        <v>5440</v>
      </c>
      <c r="M1678" s="12">
        <v>160</v>
      </c>
      <c r="N1678" s="14">
        <v>0.26</v>
      </c>
      <c r="O1678" s="12">
        <v>141</v>
      </c>
      <c r="P1678" s="12">
        <v>210</v>
      </c>
      <c r="Q1678" s="12">
        <v>20</v>
      </c>
      <c r="R1678" s="13" t="s">
        <v>43</v>
      </c>
      <c r="S1678" s="13"/>
      <c r="T1678" s="15">
        <v>2000</v>
      </c>
      <c r="U1678" s="13" t="s">
        <v>44</v>
      </c>
      <c r="V1678" s="13" t="s">
        <v>64</v>
      </c>
      <c r="W1678" s="12">
        <v>10</v>
      </c>
      <c r="X1678" s="33" t="str">
        <f>HYPERLINK("https://www.alpinabook.ru/catalog/book-teper-ya-em-vsye-chto-khochu","ссылка на книгу")</f>
        <v>ссылка на книгу</v>
      </c>
      <c r="Y1678" s="34" t="str">
        <f>HYPERLINK("https://api-enni.alpina.ru/FilePrivilegesApproval/2","https://api-enni.alpina.ru/FilePrivilegesApproval/2")</f>
        <v>https://api-enni.alpina.ru/FilePrivilegesApproval/2</v>
      </c>
      <c r="Z1678" s="13"/>
      <c r="AT1678" s="1">
        <f t="shared" si="313"/>
        <v>0</v>
      </c>
      <c r="AU1678" s="1">
        <f t="shared" si="314"/>
        <v>0</v>
      </c>
      <c r="AV1678" s="1">
        <f t="shared" si="315"/>
        <v>0</v>
      </c>
      <c r="AW1678" s="1">
        <f t="shared" si="316"/>
        <v>0</v>
      </c>
      <c r="AX1678" s="1">
        <f t="shared" si="317"/>
        <v>0</v>
      </c>
    </row>
    <row r="1679" spans="1:50" s="1" customFormat="1" ht="24.95" customHeight="1" outlineLevel="3" x14ac:dyDescent="0.2">
      <c r="A1679" s="11"/>
      <c r="B1679" s="12">
        <v>320</v>
      </c>
      <c r="C1679" s="12">
        <v>320</v>
      </c>
      <c r="D1679" s="12">
        <v>6599</v>
      </c>
      <c r="E1679" s="13" t="s">
        <v>5441</v>
      </c>
      <c r="F1679" s="13" t="s">
        <v>5442</v>
      </c>
      <c r="G1679" s="13" t="s">
        <v>56</v>
      </c>
      <c r="H1679" s="13"/>
      <c r="I1679" s="12">
        <v>2017</v>
      </c>
      <c r="J1679" s="13" t="s">
        <v>5443</v>
      </c>
      <c r="K1679" s="12">
        <v>9785961459609</v>
      </c>
      <c r="L1679" s="13" t="s">
        <v>5444</v>
      </c>
      <c r="M1679" s="12">
        <v>224</v>
      </c>
      <c r="N1679" s="14">
        <v>0.27</v>
      </c>
      <c r="O1679" s="12">
        <v>140</v>
      </c>
      <c r="P1679" s="12">
        <v>200</v>
      </c>
      <c r="Q1679" s="12">
        <v>20</v>
      </c>
      <c r="R1679" s="13" t="s">
        <v>43</v>
      </c>
      <c r="S1679" s="13"/>
      <c r="T1679" s="15">
        <v>2000</v>
      </c>
      <c r="U1679" s="13" t="s">
        <v>44</v>
      </c>
      <c r="V1679" s="13" t="s">
        <v>64</v>
      </c>
      <c r="W1679" s="12">
        <v>10</v>
      </c>
      <c r="X1679" s="33" t="str">
        <f>HYPERLINK("https://www.alpinabook.ru/catalog/book-89560","ссылка на книгу")</f>
        <v>ссылка на книгу</v>
      </c>
      <c r="Y1679" s="34" t="str">
        <f>HYPERLINK("https://api-enni.alpina.ru/FilePrivilegesApproval/2","https://api-enni.alpina.ru/FilePrivilegesApproval/2")</f>
        <v>https://api-enni.alpina.ru/FilePrivilegesApproval/2</v>
      </c>
      <c r="Z1679" s="13"/>
      <c r="AT1679" s="1">
        <f t="shared" si="313"/>
        <v>0</v>
      </c>
      <c r="AU1679" s="1">
        <f t="shared" si="314"/>
        <v>0</v>
      </c>
      <c r="AV1679" s="1">
        <f t="shared" si="315"/>
        <v>0</v>
      </c>
      <c r="AW1679" s="1">
        <f t="shared" si="316"/>
        <v>0</v>
      </c>
      <c r="AX1679" s="1">
        <f t="shared" si="317"/>
        <v>0</v>
      </c>
    </row>
    <row r="1680" spans="1:50" s="1" customFormat="1" ht="21.95" customHeight="1" outlineLevel="3" x14ac:dyDescent="0.2">
      <c r="A1680" s="26"/>
      <c r="B1680" s="28">
        <v>1200</v>
      </c>
      <c r="C1680" s="28">
        <v>1690</v>
      </c>
      <c r="D1680" s="27">
        <v>11625</v>
      </c>
      <c r="E1680" s="29" t="s">
        <v>5445</v>
      </c>
      <c r="F1680" s="29" t="s">
        <v>5446</v>
      </c>
      <c r="G1680" s="29" t="s">
        <v>97</v>
      </c>
      <c r="H1680" s="29"/>
      <c r="I1680" s="27">
        <v>2018</v>
      </c>
      <c r="J1680" s="29" t="s">
        <v>5447</v>
      </c>
      <c r="K1680" s="27">
        <v>9785950096235</v>
      </c>
      <c r="L1680" s="29" t="s">
        <v>5448</v>
      </c>
      <c r="M1680" s="27">
        <v>160</v>
      </c>
      <c r="N1680" s="30">
        <v>0.6</v>
      </c>
      <c r="O1680" s="27">
        <v>205</v>
      </c>
      <c r="P1680" s="27">
        <v>266</v>
      </c>
      <c r="Q1680" s="27">
        <v>8</v>
      </c>
      <c r="R1680" s="29" t="s">
        <v>300</v>
      </c>
      <c r="S1680" s="29"/>
      <c r="T1680" s="28">
        <v>2000</v>
      </c>
      <c r="U1680" s="29" t="s">
        <v>52</v>
      </c>
      <c r="V1680" s="29" t="s">
        <v>89</v>
      </c>
      <c r="W1680" s="27">
        <v>10</v>
      </c>
      <c r="X1680" s="37" t="str">
        <f>HYPERLINK("https://www.alpinabook.ru/catalog/book-512078","ссылка на книгу")</f>
        <v>ссылка на книгу</v>
      </c>
      <c r="Y1680" s="38" t="str">
        <f>HYPERLINK("","")</f>
        <v/>
      </c>
      <c r="Z1680" s="29"/>
      <c r="AT1680" s="1">
        <f t="shared" si="313"/>
        <v>0</v>
      </c>
      <c r="AU1680" s="1">
        <f t="shared" si="314"/>
        <v>0</v>
      </c>
      <c r="AV1680" s="1">
        <f t="shared" si="315"/>
        <v>0</v>
      </c>
      <c r="AW1680" s="1">
        <f t="shared" si="316"/>
        <v>0</v>
      </c>
      <c r="AX1680" s="1">
        <f t="shared" si="317"/>
        <v>0</v>
      </c>
    </row>
    <row r="1681" spans="1:50" ht="11.1" customHeight="1" outlineLevel="2" x14ac:dyDescent="0.2">
      <c r="A1681" s="40" t="s">
        <v>5449</v>
      </c>
      <c r="B1681" s="40"/>
      <c r="C1681" s="40"/>
      <c r="D1681" s="40"/>
      <c r="E1681" s="40"/>
      <c r="F1681" s="40"/>
      <c r="G1681" s="40"/>
      <c r="H1681" s="40"/>
      <c r="I1681" s="40"/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20"/>
    </row>
    <row r="1682" spans="1:50" s="1" customFormat="1" ht="24.95" customHeight="1" outlineLevel="3" x14ac:dyDescent="0.2">
      <c r="A1682" s="26"/>
      <c r="B1682" s="27">
        <v>280</v>
      </c>
      <c r="C1682" s="27">
        <v>440</v>
      </c>
      <c r="D1682" s="27">
        <v>12134</v>
      </c>
      <c r="E1682" s="29" t="s">
        <v>5450</v>
      </c>
      <c r="F1682" s="29" t="s">
        <v>5451</v>
      </c>
      <c r="G1682" s="29" t="s">
        <v>56</v>
      </c>
      <c r="H1682" s="29" t="s">
        <v>40</v>
      </c>
      <c r="I1682" s="27">
        <v>2019</v>
      </c>
      <c r="J1682" s="29" t="s">
        <v>5452</v>
      </c>
      <c r="K1682" s="27">
        <v>9785961427561</v>
      </c>
      <c r="L1682" s="29" t="s">
        <v>5453</v>
      </c>
      <c r="M1682" s="27">
        <v>278</v>
      </c>
      <c r="N1682" s="30">
        <v>0.19</v>
      </c>
      <c r="O1682" s="27">
        <v>115</v>
      </c>
      <c r="P1682" s="27">
        <v>165</v>
      </c>
      <c r="Q1682" s="27">
        <v>10</v>
      </c>
      <c r="R1682" s="29" t="s">
        <v>75</v>
      </c>
      <c r="S1682" s="29" t="s">
        <v>5454</v>
      </c>
      <c r="T1682" s="28">
        <v>3000</v>
      </c>
      <c r="U1682" s="29" t="s">
        <v>44</v>
      </c>
      <c r="V1682" s="29" t="s">
        <v>64</v>
      </c>
      <c r="W1682" s="27">
        <v>10</v>
      </c>
      <c r="X1682" s="37" t="str">
        <f>HYPERLINK("https://www.alpinabook.ru/catalog/book-560459","ссылка на книгу")</f>
        <v>ссылка на книгу</v>
      </c>
      <c r="Y1682" s="38" t="str">
        <f>HYPERLINK("https://api-enni.alpina.ru/FilePrivilegesApproval/363","https://api-enni.alpina.ru/FilePrivilegesApproval/363")</f>
        <v>https://api-enni.alpina.ru/FilePrivilegesApproval/363</v>
      </c>
      <c r="Z1682" s="29"/>
      <c r="AT1682" s="1">
        <f>IF($A1682&lt;&gt;0,1,0)</f>
        <v>0</v>
      </c>
      <c r="AU1682" s="1">
        <f>$A1682*$B1682</f>
        <v>0</v>
      </c>
      <c r="AV1682" s="1">
        <f>$A1682*$N1682</f>
        <v>0</v>
      </c>
      <c r="AW1682" s="1">
        <f>IF($Q1682=0,0,INT($A1682/$Q1682))</f>
        <v>0</v>
      </c>
      <c r="AX1682" s="1">
        <f>$A1682-$AW1682*$Q1682</f>
        <v>0</v>
      </c>
    </row>
    <row r="1683" spans="1:50" ht="15" customHeight="1" outlineLevel="1" x14ac:dyDescent="0.2">
      <c r="A1683" s="39" t="s">
        <v>5455</v>
      </c>
      <c r="B1683" s="39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19"/>
    </row>
    <row r="1684" spans="1:50" ht="11.1" customHeight="1" outlineLevel="2" x14ac:dyDescent="0.2">
      <c r="A1684" s="40" t="s">
        <v>5456</v>
      </c>
      <c r="B1684" s="40"/>
      <c r="C1684" s="40"/>
      <c r="D1684" s="40"/>
      <c r="E1684" s="40"/>
      <c r="F1684" s="40"/>
      <c r="G1684" s="40"/>
      <c r="H1684" s="40"/>
      <c r="I1684" s="40"/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20"/>
    </row>
    <row r="1685" spans="1:50" s="1" customFormat="1" ht="24.95" customHeight="1" outlineLevel="3" x14ac:dyDescent="0.2">
      <c r="A1685" s="21"/>
      <c r="B1685" s="22">
        <v>190</v>
      </c>
      <c r="C1685" s="22">
        <v>190</v>
      </c>
      <c r="D1685" s="22">
        <v>29726</v>
      </c>
      <c r="E1685" s="23" t="s">
        <v>283</v>
      </c>
      <c r="F1685" s="23" t="s">
        <v>5457</v>
      </c>
      <c r="G1685" s="23" t="s">
        <v>163</v>
      </c>
      <c r="H1685" s="23"/>
      <c r="I1685" s="22">
        <v>2024</v>
      </c>
      <c r="J1685" s="23" t="s">
        <v>5458</v>
      </c>
      <c r="K1685" s="22">
        <v>9785961493627</v>
      </c>
      <c r="L1685" s="23" t="s">
        <v>5459</v>
      </c>
      <c r="M1685" s="22">
        <v>2</v>
      </c>
      <c r="N1685" s="24">
        <v>0.04</v>
      </c>
      <c r="O1685" s="22">
        <v>210</v>
      </c>
      <c r="P1685" s="22">
        <v>280</v>
      </c>
      <c r="Q1685" s="22">
        <v>200</v>
      </c>
      <c r="R1685" s="23" t="s">
        <v>167</v>
      </c>
      <c r="S1685" s="23"/>
      <c r="T1685" s="25">
        <v>5000</v>
      </c>
      <c r="U1685" s="23" t="s">
        <v>44</v>
      </c>
      <c r="V1685" s="23" t="s">
        <v>64</v>
      </c>
      <c r="W1685" s="22">
        <v>10</v>
      </c>
      <c r="X1685" s="35" t="str">
        <f>HYPERLINK("https://www.alpinabook.ru/catalog/book-31-den-do-novogo-goda","ссылка на книгу")</f>
        <v>ссылка на книгу</v>
      </c>
      <c r="Y1685" s="36" t="str">
        <f>HYPERLINK("https://api-enni.alpina.ru/FileCertificateProject/738","https://api-enni.alpina.ru/FileCertificateProject/738")</f>
        <v>https://api-enni.alpina.ru/FileCertificateProject/738</v>
      </c>
      <c r="Z1685" s="23"/>
      <c r="AT1685" s="1">
        <f t="shared" ref="AT1685:AT1720" si="318">IF($A1685&lt;&gt;0,1,0)</f>
        <v>0</v>
      </c>
      <c r="AU1685" s="1">
        <f t="shared" ref="AU1685:AU1720" si="319">$A1685*$B1685</f>
        <v>0</v>
      </c>
      <c r="AV1685" s="1">
        <f t="shared" ref="AV1685:AV1720" si="320">$A1685*$N1685</f>
        <v>0</v>
      </c>
      <c r="AW1685" s="1">
        <f t="shared" ref="AW1685:AW1720" si="321">IF($Q1685=0,0,INT($A1685/$Q1685))</f>
        <v>0</v>
      </c>
      <c r="AX1685" s="1">
        <f t="shared" ref="AX1685:AX1720" si="322">$A1685-$AW1685*$Q1685</f>
        <v>0</v>
      </c>
    </row>
    <row r="1686" spans="1:50" s="1" customFormat="1" ht="24.95" customHeight="1" outlineLevel="3" x14ac:dyDescent="0.2">
      <c r="A1686" s="21"/>
      <c r="B1686" s="22">
        <v>890</v>
      </c>
      <c r="C1686" s="25">
        <v>1290</v>
      </c>
      <c r="D1686" s="22">
        <v>28276</v>
      </c>
      <c r="E1686" s="23" t="s">
        <v>263</v>
      </c>
      <c r="F1686" s="23" t="s">
        <v>5460</v>
      </c>
      <c r="G1686" s="23" t="s">
        <v>163</v>
      </c>
      <c r="H1686" s="23" t="s">
        <v>164</v>
      </c>
      <c r="I1686" s="22">
        <v>2024</v>
      </c>
      <c r="J1686" s="23" t="s">
        <v>5461</v>
      </c>
      <c r="K1686" s="22">
        <v>9785961487695</v>
      </c>
      <c r="L1686" s="23" t="s">
        <v>5462</v>
      </c>
      <c r="M1686" s="22">
        <v>200</v>
      </c>
      <c r="N1686" s="24">
        <v>0.4</v>
      </c>
      <c r="O1686" s="22">
        <v>155</v>
      </c>
      <c r="P1686" s="22">
        <v>198</v>
      </c>
      <c r="Q1686" s="22">
        <v>20</v>
      </c>
      <c r="R1686" s="23" t="s">
        <v>100</v>
      </c>
      <c r="S1686" s="23" t="s">
        <v>267</v>
      </c>
      <c r="T1686" s="25">
        <v>6000</v>
      </c>
      <c r="U1686" s="23" t="s">
        <v>268</v>
      </c>
      <c r="V1686" s="23" t="s">
        <v>269</v>
      </c>
      <c r="W1686" s="22">
        <v>20</v>
      </c>
      <c r="X1686" s="35" t="str">
        <f>HYPERLINK("https://www.alpinabook.ru/catalog/book-6-minut-dlya-detey","ссылка на книгу")</f>
        <v>ссылка на книгу</v>
      </c>
      <c r="Y1686" s="36" t="str">
        <f>HYPERLINK("https://api-enni.alpina.ru/FileCertificateProject/603","https://api-enni.alpina.ru/FileCertificateProject/603")</f>
        <v>https://api-enni.alpina.ru/FileCertificateProject/603</v>
      </c>
      <c r="Z1686" s="23"/>
      <c r="AT1686" s="1">
        <f t="shared" si="318"/>
        <v>0</v>
      </c>
      <c r="AU1686" s="1">
        <f t="shared" si="319"/>
        <v>0</v>
      </c>
      <c r="AV1686" s="1">
        <f t="shared" si="320"/>
        <v>0</v>
      </c>
      <c r="AW1686" s="1">
        <f t="shared" si="321"/>
        <v>0</v>
      </c>
      <c r="AX1686" s="1">
        <f t="shared" si="322"/>
        <v>0</v>
      </c>
    </row>
    <row r="1687" spans="1:50" s="1" customFormat="1" ht="24.95" customHeight="1" outlineLevel="3" x14ac:dyDescent="0.2">
      <c r="A1687" s="21"/>
      <c r="B1687" s="22">
        <v>890</v>
      </c>
      <c r="C1687" s="25">
        <v>1290</v>
      </c>
      <c r="D1687" s="22">
        <v>30547</v>
      </c>
      <c r="E1687" s="23" t="s">
        <v>263</v>
      </c>
      <c r="F1687" s="23" t="s">
        <v>5463</v>
      </c>
      <c r="G1687" s="23" t="s">
        <v>163</v>
      </c>
      <c r="H1687" s="23" t="s">
        <v>164</v>
      </c>
      <c r="I1687" s="22">
        <v>2024</v>
      </c>
      <c r="J1687" s="23" t="s">
        <v>5464</v>
      </c>
      <c r="K1687" s="22">
        <v>9785961495836</v>
      </c>
      <c r="L1687" s="23" t="s">
        <v>5465</v>
      </c>
      <c r="M1687" s="22">
        <v>200</v>
      </c>
      <c r="N1687" s="24">
        <v>0.4</v>
      </c>
      <c r="O1687" s="22">
        <v>150</v>
      </c>
      <c r="P1687" s="22">
        <v>200</v>
      </c>
      <c r="Q1687" s="22">
        <v>20</v>
      </c>
      <c r="R1687" s="23" t="s">
        <v>100</v>
      </c>
      <c r="S1687" s="23" t="s">
        <v>267</v>
      </c>
      <c r="T1687" s="25">
        <v>5000</v>
      </c>
      <c r="U1687" s="23" t="s">
        <v>268</v>
      </c>
      <c r="V1687" s="23" t="s">
        <v>269</v>
      </c>
      <c r="W1687" s="22">
        <v>20</v>
      </c>
      <c r="X1687" s="35" t="str">
        <f>HYPERLINK("https://www.alpinabook.ru/catalog/book-6-minut-dlya-detey","ссылка на книгу")</f>
        <v>ссылка на книгу</v>
      </c>
      <c r="Y1687" s="36" t="str">
        <f>HYPERLINK("https://api-enni.alpina.ru/FileCertificateProject/603","https://api-enni.alpina.ru/FileCertificateProject/603")</f>
        <v>https://api-enni.alpina.ru/FileCertificateProject/603</v>
      </c>
      <c r="Z1687" s="23"/>
      <c r="AT1687" s="1">
        <f t="shared" si="318"/>
        <v>0</v>
      </c>
      <c r="AU1687" s="1">
        <f t="shared" si="319"/>
        <v>0</v>
      </c>
      <c r="AV1687" s="1">
        <f t="shared" si="320"/>
        <v>0</v>
      </c>
      <c r="AW1687" s="1">
        <f t="shared" si="321"/>
        <v>0</v>
      </c>
      <c r="AX1687" s="1">
        <f t="shared" si="322"/>
        <v>0</v>
      </c>
    </row>
    <row r="1688" spans="1:50" s="1" customFormat="1" ht="24.95" customHeight="1" outlineLevel="3" x14ac:dyDescent="0.2">
      <c r="A1688" s="21"/>
      <c r="B1688" s="22">
        <v>990</v>
      </c>
      <c r="C1688" s="25">
        <v>1290</v>
      </c>
      <c r="D1688" s="22">
        <v>29775</v>
      </c>
      <c r="E1688" s="23" t="s">
        <v>5466</v>
      </c>
      <c r="F1688" s="23" t="s">
        <v>5467</v>
      </c>
      <c r="G1688" s="23" t="s">
        <v>163</v>
      </c>
      <c r="H1688" s="23"/>
      <c r="I1688" s="22">
        <v>2025</v>
      </c>
      <c r="J1688" s="23" t="s">
        <v>5468</v>
      </c>
      <c r="K1688" s="22">
        <v>9785961493849</v>
      </c>
      <c r="L1688" s="23" t="s">
        <v>5469</v>
      </c>
      <c r="M1688" s="22">
        <v>288</v>
      </c>
      <c r="N1688" s="24">
        <v>0.54</v>
      </c>
      <c r="O1688" s="22">
        <v>160</v>
      </c>
      <c r="P1688" s="22">
        <v>200</v>
      </c>
      <c r="Q1688" s="22">
        <v>20</v>
      </c>
      <c r="R1688" s="23" t="s">
        <v>100</v>
      </c>
      <c r="S1688" s="23" t="s">
        <v>267</v>
      </c>
      <c r="T1688" s="25">
        <v>4000</v>
      </c>
      <c r="U1688" s="23" t="s">
        <v>268</v>
      </c>
      <c r="V1688" s="23" t="s">
        <v>269</v>
      </c>
      <c r="W1688" s="22">
        <v>10</v>
      </c>
      <c r="X1688" s="35" t="str">
        <f>HYPERLINK("https://www.alpinabook.ru/catalog/book-6-minut-dlya-detey-finansovaya-gramotnost","ссылка на книгу")</f>
        <v>ссылка на книгу</v>
      </c>
      <c r="Y1688" s="36" t="str">
        <f>HYPERLINK("https://api-enni.alpina.ru/FileCertificateProject/713","https://api-enni.alpina.ru/FileCertificateProject/713")</f>
        <v>https://api-enni.alpina.ru/FileCertificateProject/713</v>
      </c>
      <c r="Z1688" s="23" t="s">
        <v>295</v>
      </c>
      <c r="AT1688" s="1">
        <f t="shared" si="318"/>
        <v>0</v>
      </c>
      <c r="AU1688" s="1">
        <f t="shared" si="319"/>
        <v>0</v>
      </c>
      <c r="AV1688" s="1">
        <f t="shared" si="320"/>
        <v>0</v>
      </c>
      <c r="AW1688" s="1">
        <f t="shared" si="321"/>
        <v>0</v>
      </c>
      <c r="AX1688" s="1">
        <f t="shared" si="322"/>
        <v>0</v>
      </c>
    </row>
    <row r="1689" spans="1:50" s="1" customFormat="1" ht="24.95" customHeight="1" outlineLevel="3" x14ac:dyDescent="0.2">
      <c r="A1689" s="21"/>
      <c r="B1689" s="22">
        <v>790</v>
      </c>
      <c r="C1689" s="25">
        <v>1190</v>
      </c>
      <c r="D1689" s="22">
        <v>31584</v>
      </c>
      <c r="E1689" s="23" t="s">
        <v>5470</v>
      </c>
      <c r="F1689" s="23" t="s">
        <v>5471</v>
      </c>
      <c r="G1689" s="23" t="s">
        <v>97</v>
      </c>
      <c r="H1689" s="23"/>
      <c r="I1689" s="22">
        <v>2024</v>
      </c>
      <c r="J1689" s="23" t="s">
        <v>5472</v>
      </c>
      <c r="K1689" s="22">
        <v>9785206003789</v>
      </c>
      <c r="L1689" s="23" t="s">
        <v>5473</v>
      </c>
      <c r="M1689" s="22">
        <v>80</v>
      </c>
      <c r="N1689" s="24">
        <v>0.39</v>
      </c>
      <c r="O1689" s="22">
        <v>220</v>
      </c>
      <c r="P1689" s="22">
        <v>220</v>
      </c>
      <c r="Q1689" s="22">
        <v>13</v>
      </c>
      <c r="R1689" s="23" t="s">
        <v>167</v>
      </c>
      <c r="S1689" s="23"/>
      <c r="T1689" s="25">
        <v>2005</v>
      </c>
      <c r="U1689" s="23" t="s">
        <v>52</v>
      </c>
      <c r="V1689" s="23" t="s">
        <v>269</v>
      </c>
      <c r="W1689" s="22">
        <v>10</v>
      </c>
      <c r="X1689" s="35" t="str">
        <f>HYPERLINK("https://www.alpinabook.ru/catalog/book-alisa-privet","ссылка на книгу")</f>
        <v>ссылка на книгу</v>
      </c>
      <c r="Y1689" s="36" t="str">
        <f>HYPERLINK("https://api-enni.alpina.ru/FilePrivilegesApproval/735","https://api-enni.alpina.ru/FilePrivilegesApproval/735")</f>
        <v>https://api-enni.alpina.ru/FilePrivilegesApproval/735</v>
      </c>
      <c r="Z1689" s="23"/>
      <c r="AT1689" s="1">
        <f t="shared" si="318"/>
        <v>0</v>
      </c>
      <c r="AU1689" s="1">
        <f t="shared" si="319"/>
        <v>0</v>
      </c>
      <c r="AV1689" s="1">
        <f t="shared" si="320"/>
        <v>0</v>
      </c>
      <c r="AW1689" s="1">
        <f t="shared" si="321"/>
        <v>0</v>
      </c>
      <c r="AX1689" s="1">
        <f t="shared" si="322"/>
        <v>0</v>
      </c>
    </row>
    <row r="1690" spans="1:50" s="1" customFormat="1" ht="24.95" customHeight="1" outlineLevel="3" x14ac:dyDescent="0.2">
      <c r="A1690" s="21"/>
      <c r="B1690" s="22">
        <v>590</v>
      </c>
      <c r="C1690" s="22">
        <v>840</v>
      </c>
      <c r="D1690" s="22">
        <v>32316</v>
      </c>
      <c r="E1690" s="23" t="s">
        <v>5474</v>
      </c>
      <c r="F1690" s="23" t="s">
        <v>5475</v>
      </c>
      <c r="G1690" s="23" t="s">
        <v>163</v>
      </c>
      <c r="H1690" s="23" t="s">
        <v>40</v>
      </c>
      <c r="I1690" s="22">
        <v>2024</v>
      </c>
      <c r="J1690" s="23" t="s">
        <v>5476</v>
      </c>
      <c r="K1690" s="22">
        <v>9785006301849</v>
      </c>
      <c r="L1690" s="23" t="s">
        <v>5477</v>
      </c>
      <c r="M1690" s="22">
        <v>40</v>
      </c>
      <c r="N1690" s="24">
        <v>0.4</v>
      </c>
      <c r="O1690" s="22">
        <v>220</v>
      </c>
      <c r="P1690" s="22">
        <v>310</v>
      </c>
      <c r="Q1690" s="22">
        <v>14</v>
      </c>
      <c r="R1690" s="23" t="s">
        <v>167</v>
      </c>
      <c r="S1690" s="23"/>
      <c r="T1690" s="25">
        <v>4000</v>
      </c>
      <c r="U1690" s="23" t="s">
        <v>52</v>
      </c>
      <c r="V1690" s="23" t="s">
        <v>64</v>
      </c>
      <c r="W1690" s="22">
        <v>10</v>
      </c>
      <c r="X1690" s="35" t="str">
        <f>HYPERLINK("https://www.alpinabook.ru/catalog/book-grand-otel-chuvstv","ссылка на книгу")</f>
        <v>ссылка на книгу</v>
      </c>
      <c r="Y1690" s="36" t="str">
        <f>HYPERLINK("https://api-enni.alpina.ru/FileCertificateProject/712","https://api-enni.alpina.ru/FileCertificateProject/712")</f>
        <v>https://api-enni.alpina.ru/FileCertificateProject/712</v>
      </c>
      <c r="Z1690" s="23"/>
      <c r="AT1690" s="1">
        <f t="shared" si="318"/>
        <v>0</v>
      </c>
      <c r="AU1690" s="1">
        <f t="shared" si="319"/>
        <v>0</v>
      </c>
      <c r="AV1690" s="1">
        <f t="shared" si="320"/>
        <v>0</v>
      </c>
      <c r="AW1690" s="1">
        <f t="shared" si="321"/>
        <v>0</v>
      </c>
      <c r="AX1690" s="1">
        <f t="shared" si="322"/>
        <v>0</v>
      </c>
    </row>
    <row r="1691" spans="1:50" s="1" customFormat="1" ht="21.95" customHeight="1" outlineLevel="3" x14ac:dyDescent="0.2">
      <c r="A1691" s="21"/>
      <c r="B1691" s="22">
        <v>790</v>
      </c>
      <c r="C1691" s="25">
        <v>1190</v>
      </c>
      <c r="D1691" s="22">
        <v>28290</v>
      </c>
      <c r="E1691" s="23" t="s">
        <v>5478</v>
      </c>
      <c r="F1691" s="23" t="s">
        <v>5479</v>
      </c>
      <c r="G1691" s="23" t="s">
        <v>163</v>
      </c>
      <c r="H1691" s="23" t="s">
        <v>5480</v>
      </c>
      <c r="I1691" s="22">
        <v>2024</v>
      </c>
      <c r="J1691" s="23" t="s">
        <v>5481</v>
      </c>
      <c r="K1691" s="22">
        <v>9785961487763</v>
      </c>
      <c r="L1691" s="23" t="s">
        <v>5482</v>
      </c>
      <c r="M1691" s="22">
        <v>120</v>
      </c>
      <c r="N1691" s="24">
        <v>0.56000000000000005</v>
      </c>
      <c r="O1691" s="22">
        <v>220</v>
      </c>
      <c r="P1691" s="22">
        <v>250</v>
      </c>
      <c r="Q1691" s="22">
        <v>10</v>
      </c>
      <c r="R1691" s="23" t="s">
        <v>300</v>
      </c>
      <c r="S1691" s="23"/>
      <c r="T1691" s="25">
        <v>2500</v>
      </c>
      <c r="U1691" s="23" t="s">
        <v>52</v>
      </c>
      <c r="V1691" s="23" t="s">
        <v>269</v>
      </c>
      <c r="W1691" s="22">
        <v>10</v>
      </c>
      <c r="X1691" s="35" t="str">
        <f>HYPERLINK("https://www.alpinabook.ru/catalog/book-dama-v-shlyape","ссылка на книгу")</f>
        <v>ссылка на книгу</v>
      </c>
      <c r="Y1691" s="36" t="str">
        <f>HYPERLINK("","")</f>
        <v/>
      </c>
      <c r="Z1691" s="23"/>
      <c r="AT1691" s="1">
        <f t="shared" si="318"/>
        <v>0</v>
      </c>
      <c r="AU1691" s="1">
        <f t="shared" si="319"/>
        <v>0</v>
      </c>
      <c r="AV1691" s="1">
        <f t="shared" si="320"/>
        <v>0</v>
      </c>
      <c r="AW1691" s="1">
        <f t="shared" si="321"/>
        <v>0</v>
      </c>
      <c r="AX1691" s="1">
        <f t="shared" si="322"/>
        <v>0</v>
      </c>
    </row>
    <row r="1692" spans="1:50" s="1" customFormat="1" ht="24.95" customHeight="1" outlineLevel="3" x14ac:dyDescent="0.2">
      <c r="A1692" s="21"/>
      <c r="B1692" s="22">
        <v>540</v>
      </c>
      <c r="C1692" s="22">
        <v>540</v>
      </c>
      <c r="D1692" s="22">
        <v>31779</v>
      </c>
      <c r="E1692" s="23" t="s">
        <v>5483</v>
      </c>
      <c r="F1692" s="23" t="s">
        <v>5484</v>
      </c>
      <c r="G1692" s="23" t="s">
        <v>163</v>
      </c>
      <c r="H1692" s="23"/>
      <c r="I1692" s="22">
        <v>2025</v>
      </c>
      <c r="J1692" s="23" t="s">
        <v>5485</v>
      </c>
      <c r="K1692" s="22">
        <v>9785006300149</v>
      </c>
      <c r="L1692" s="23" t="s">
        <v>5486</v>
      </c>
      <c r="M1692" s="22">
        <v>64</v>
      </c>
      <c r="N1692" s="24">
        <v>0.28999999999999998</v>
      </c>
      <c r="O1692" s="22">
        <v>170</v>
      </c>
      <c r="P1692" s="22">
        <v>240</v>
      </c>
      <c r="Q1692" s="22">
        <v>14</v>
      </c>
      <c r="R1692" s="23" t="s">
        <v>94</v>
      </c>
      <c r="S1692" s="23"/>
      <c r="T1692" s="25">
        <v>2000</v>
      </c>
      <c r="U1692" s="23" t="s">
        <v>52</v>
      </c>
      <c r="V1692" s="23" t="s">
        <v>269</v>
      </c>
      <c r="W1692" s="22">
        <v>10</v>
      </c>
      <c r="X1692" s="35" t="str">
        <f>HYPERLINK("https://www.alpinabook.ru/catalog/book-ded-koshmar","ссылка на книгу")</f>
        <v>ссылка на книгу</v>
      </c>
      <c r="Y1692" s="36" t="str">
        <f>HYPERLINK("https://api-enni.alpina.ru/FileCertificateProject/544","https://api-enni.alpina.ru/FileCertificateProject/544")</f>
        <v>https://api-enni.alpina.ru/FileCertificateProject/544</v>
      </c>
      <c r="Z1692" s="23"/>
      <c r="AT1692" s="1">
        <f t="shared" si="318"/>
        <v>0</v>
      </c>
      <c r="AU1692" s="1">
        <f t="shared" si="319"/>
        <v>0</v>
      </c>
      <c r="AV1692" s="1">
        <f t="shared" si="320"/>
        <v>0</v>
      </c>
      <c r="AW1692" s="1">
        <f t="shared" si="321"/>
        <v>0</v>
      </c>
      <c r="AX1692" s="1">
        <f t="shared" si="322"/>
        <v>0</v>
      </c>
    </row>
    <row r="1693" spans="1:50" s="1" customFormat="1" ht="24.95" customHeight="1" outlineLevel="3" x14ac:dyDescent="0.2">
      <c r="A1693" s="21"/>
      <c r="B1693" s="22">
        <v>590</v>
      </c>
      <c r="C1693" s="22">
        <v>590</v>
      </c>
      <c r="D1693" s="22">
        <v>31122</v>
      </c>
      <c r="E1693" s="23" t="s">
        <v>5487</v>
      </c>
      <c r="F1693" s="23" t="s">
        <v>5488</v>
      </c>
      <c r="G1693" s="23" t="s">
        <v>163</v>
      </c>
      <c r="H1693" s="23" t="s">
        <v>164</v>
      </c>
      <c r="I1693" s="22">
        <v>2025</v>
      </c>
      <c r="J1693" s="23" t="s">
        <v>5489</v>
      </c>
      <c r="K1693" s="22">
        <v>9785961497649</v>
      </c>
      <c r="L1693" s="23" t="s">
        <v>5490</v>
      </c>
      <c r="M1693" s="22">
        <v>192</v>
      </c>
      <c r="N1693" s="24">
        <v>0.45</v>
      </c>
      <c r="O1693" s="22">
        <v>150</v>
      </c>
      <c r="P1693" s="22">
        <v>220</v>
      </c>
      <c r="Q1693" s="22">
        <v>14</v>
      </c>
      <c r="R1693" s="23" t="s">
        <v>43</v>
      </c>
      <c r="S1693" s="23"/>
      <c r="T1693" s="25">
        <v>2000</v>
      </c>
      <c r="U1693" s="23" t="s">
        <v>52</v>
      </c>
      <c r="V1693" s="23" t="s">
        <v>269</v>
      </c>
      <c r="W1693" s="22">
        <v>10</v>
      </c>
      <c r="X1693" s="35" t="str">
        <f>HYPERLINK("https://www.alpinabook.ru/catalog/book-dorogoy-santa","ссылка на книгу")</f>
        <v>ссылка на книгу</v>
      </c>
      <c r="Y1693" s="36" t="str">
        <f>HYPERLINK("https://api-enni.alpina.ru/FileCertificateProject/492","https://api-enni.alpina.ru/FileCertificateProject/492")</f>
        <v>https://api-enni.alpina.ru/FileCertificateProject/492</v>
      </c>
      <c r="Z1693" s="23"/>
      <c r="AT1693" s="1">
        <f t="shared" si="318"/>
        <v>0</v>
      </c>
      <c r="AU1693" s="1">
        <f t="shared" si="319"/>
        <v>0</v>
      </c>
      <c r="AV1693" s="1">
        <f t="shared" si="320"/>
        <v>0</v>
      </c>
      <c r="AW1693" s="1">
        <f t="shared" si="321"/>
        <v>0</v>
      </c>
      <c r="AX1693" s="1">
        <f t="shared" si="322"/>
        <v>0</v>
      </c>
    </row>
    <row r="1694" spans="1:50" s="1" customFormat="1" ht="24.95" customHeight="1" outlineLevel="3" x14ac:dyDescent="0.2">
      <c r="A1694" s="21"/>
      <c r="B1694" s="22">
        <v>150</v>
      </c>
      <c r="C1694" s="22">
        <v>190</v>
      </c>
      <c r="D1694" s="22">
        <v>31425</v>
      </c>
      <c r="E1694" s="23" t="s">
        <v>283</v>
      </c>
      <c r="F1694" s="23" t="s">
        <v>5491</v>
      </c>
      <c r="G1694" s="23" t="s">
        <v>163</v>
      </c>
      <c r="H1694" s="23"/>
      <c r="I1694" s="22">
        <v>2024</v>
      </c>
      <c r="J1694" s="23" t="s">
        <v>5492</v>
      </c>
      <c r="K1694" s="22">
        <v>9785961498660</v>
      </c>
      <c r="L1694" s="23" t="s">
        <v>5493</v>
      </c>
      <c r="M1694" s="22">
        <v>1</v>
      </c>
      <c r="N1694" s="24">
        <v>0.06</v>
      </c>
      <c r="O1694" s="22">
        <v>200</v>
      </c>
      <c r="P1694" s="22">
        <v>280</v>
      </c>
      <c r="Q1694" s="22">
        <v>100</v>
      </c>
      <c r="R1694" s="23" t="s">
        <v>167</v>
      </c>
      <c r="S1694" s="23"/>
      <c r="T1694" s="25">
        <v>5000</v>
      </c>
      <c r="U1694" s="23" t="s">
        <v>44</v>
      </c>
      <c r="V1694" s="23" t="s">
        <v>64</v>
      </c>
      <c r="W1694" s="22">
        <v>10</v>
      </c>
      <c r="X1694" s="35" t="str">
        <f>HYPERLINK("https://www.alpinabook.ru/catalog/book-zoopark-raskraska-plakat","ссылка на книгу")</f>
        <v>ссылка на книгу</v>
      </c>
      <c r="Y1694" s="36" t="str">
        <f>HYPERLINK("https://api-enni.alpina.ru/FileCertificateProject/389","https://api-enni.alpina.ru/FileCertificateProject/389")</f>
        <v>https://api-enni.alpina.ru/FileCertificateProject/389</v>
      </c>
      <c r="Z1694" s="23"/>
      <c r="AT1694" s="1">
        <f t="shared" si="318"/>
        <v>0</v>
      </c>
      <c r="AU1694" s="1">
        <f t="shared" si="319"/>
        <v>0</v>
      </c>
      <c r="AV1694" s="1">
        <f t="shared" si="320"/>
        <v>0</v>
      </c>
      <c r="AW1694" s="1">
        <f t="shared" si="321"/>
        <v>0</v>
      </c>
      <c r="AX1694" s="1">
        <f t="shared" si="322"/>
        <v>0</v>
      </c>
    </row>
    <row r="1695" spans="1:50" s="1" customFormat="1" ht="21.95" customHeight="1" outlineLevel="3" x14ac:dyDescent="0.2">
      <c r="A1695" s="21"/>
      <c r="B1695" s="22">
        <v>480</v>
      </c>
      <c r="C1695" s="22">
        <v>740</v>
      </c>
      <c r="D1695" s="22">
        <v>28968</v>
      </c>
      <c r="E1695" s="23" t="s">
        <v>5494</v>
      </c>
      <c r="F1695" s="23" t="s">
        <v>5495</v>
      </c>
      <c r="G1695" s="23" t="s">
        <v>163</v>
      </c>
      <c r="H1695" s="23" t="s">
        <v>164</v>
      </c>
      <c r="I1695" s="22">
        <v>2024</v>
      </c>
      <c r="J1695" s="23" t="s">
        <v>5496</v>
      </c>
      <c r="K1695" s="22">
        <v>9785961490930</v>
      </c>
      <c r="L1695" s="23" t="s">
        <v>5497</v>
      </c>
      <c r="M1695" s="22">
        <v>32</v>
      </c>
      <c r="N1695" s="24">
        <v>0.3</v>
      </c>
      <c r="O1695" s="22">
        <v>220</v>
      </c>
      <c r="P1695" s="22">
        <v>260</v>
      </c>
      <c r="Q1695" s="22">
        <v>18</v>
      </c>
      <c r="R1695" s="23" t="s">
        <v>167</v>
      </c>
      <c r="S1695" s="23" t="s">
        <v>5498</v>
      </c>
      <c r="T1695" s="25">
        <v>3000</v>
      </c>
      <c r="U1695" s="23" t="s">
        <v>52</v>
      </c>
      <c r="V1695" s="23" t="s">
        <v>64</v>
      </c>
      <c r="W1695" s="22">
        <v>10</v>
      </c>
      <c r="X1695" s="35" t="str">
        <f>HYPERLINK("https://www.alpinabook.ru/catalog/book-kogda-mne-grustno","ссылка на книгу")</f>
        <v>ссылка на книгу</v>
      </c>
      <c r="Y1695" s="36" t="str">
        <f>HYPERLINK("","")</f>
        <v/>
      </c>
      <c r="Z1695" s="23"/>
      <c r="AT1695" s="1">
        <f t="shared" si="318"/>
        <v>0</v>
      </c>
      <c r="AU1695" s="1">
        <f t="shared" si="319"/>
        <v>0</v>
      </c>
      <c r="AV1695" s="1">
        <f t="shared" si="320"/>
        <v>0</v>
      </c>
      <c r="AW1695" s="1">
        <f t="shared" si="321"/>
        <v>0</v>
      </c>
      <c r="AX1695" s="1">
        <f t="shared" si="322"/>
        <v>0</v>
      </c>
    </row>
    <row r="1696" spans="1:50" s="1" customFormat="1" ht="21.95" customHeight="1" outlineLevel="3" x14ac:dyDescent="0.2">
      <c r="A1696" s="21"/>
      <c r="B1696" s="22">
        <v>480</v>
      </c>
      <c r="C1696" s="22">
        <v>740</v>
      </c>
      <c r="D1696" s="22">
        <v>28967</v>
      </c>
      <c r="E1696" s="23" t="s">
        <v>5494</v>
      </c>
      <c r="F1696" s="23" t="s">
        <v>5499</v>
      </c>
      <c r="G1696" s="23" t="s">
        <v>163</v>
      </c>
      <c r="H1696" s="23" t="s">
        <v>164</v>
      </c>
      <c r="I1696" s="22">
        <v>2024</v>
      </c>
      <c r="J1696" s="23" t="s">
        <v>5500</v>
      </c>
      <c r="K1696" s="22">
        <v>9785961490923</v>
      </c>
      <c r="L1696" s="23" t="s">
        <v>5501</v>
      </c>
      <c r="M1696" s="22">
        <v>32</v>
      </c>
      <c r="N1696" s="24">
        <v>0.3</v>
      </c>
      <c r="O1696" s="22">
        <v>220</v>
      </c>
      <c r="P1696" s="22">
        <v>260</v>
      </c>
      <c r="Q1696" s="22">
        <v>18</v>
      </c>
      <c r="R1696" s="23" t="s">
        <v>167</v>
      </c>
      <c r="S1696" s="23" t="s">
        <v>5498</v>
      </c>
      <c r="T1696" s="25">
        <v>3000</v>
      </c>
      <c r="U1696" s="23" t="s">
        <v>52</v>
      </c>
      <c r="V1696" s="23" t="s">
        <v>64</v>
      </c>
      <c r="W1696" s="22">
        <v>10</v>
      </c>
      <c r="X1696" s="35" t="str">
        <f>HYPERLINK("https://www.alpinabook.ru/catalog/book-kogda-ya-boyus","ссылка на книгу")</f>
        <v>ссылка на книгу</v>
      </c>
      <c r="Y1696" s="36" t="str">
        <f>HYPERLINK("","")</f>
        <v/>
      </c>
      <c r="Z1696" s="23"/>
      <c r="AT1696" s="1">
        <f t="shared" si="318"/>
        <v>0</v>
      </c>
      <c r="AU1696" s="1">
        <f t="shared" si="319"/>
        <v>0</v>
      </c>
      <c r="AV1696" s="1">
        <f t="shared" si="320"/>
        <v>0</v>
      </c>
      <c r="AW1696" s="1">
        <f t="shared" si="321"/>
        <v>0</v>
      </c>
      <c r="AX1696" s="1">
        <f t="shared" si="322"/>
        <v>0</v>
      </c>
    </row>
    <row r="1697" spans="1:50" s="1" customFormat="1" ht="21.95" customHeight="1" outlineLevel="3" x14ac:dyDescent="0.2">
      <c r="A1697" s="21"/>
      <c r="B1697" s="22">
        <v>480</v>
      </c>
      <c r="C1697" s="22">
        <v>740</v>
      </c>
      <c r="D1697" s="22">
        <v>28966</v>
      </c>
      <c r="E1697" s="23" t="s">
        <v>5494</v>
      </c>
      <c r="F1697" s="23" t="s">
        <v>5502</v>
      </c>
      <c r="G1697" s="23" t="s">
        <v>163</v>
      </c>
      <c r="H1697" s="23" t="s">
        <v>164</v>
      </c>
      <c r="I1697" s="22">
        <v>2024</v>
      </c>
      <c r="J1697" s="23" t="s">
        <v>5503</v>
      </c>
      <c r="K1697" s="22">
        <v>9785961490916</v>
      </c>
      <c r="L1697" s="23" t="s">
        <v>5504</v>
      </c>
      <c r="M1697" s="22">
        <v>40</v>
      </c>
      <c r="N1697" s="24">
        <v>0.33</v>
      </c>
      <c r="O1697" s="22">
        <v>220</v>
      </c>
      <c r="P1697" s="22">
        <v>260</v>
      </c>
      <c r="Q1697" s="22">
        <v>16</v>
      </c>
      <c r="R1697" s="23" t="s">
        <v>167</v>
      </c>
      <c r="S1697" s="23" t="s">
        <v>5498</v>
      </c>
      <c r="T1697" s="25">
        <v>3000</v>
      </c>
      <c r="U1697" s="23" t="s">
        <v>52</v>
      </c>
      <c r="V1697" s="23" t="s">
        <v>64</v>
      </c>
      <c r="W1697" s="22">
        <v>10</v>
      </c>
      <c r="X1697" s="35" t="str">
        <f>HYPERLINK("https://www.alpinabook.ru/catalog/book-kogda-ya-zlyus","ссылка на книгу")</f>
        <v>ссылка на книгу</v>
      </c>
      <c r="Y1697" s="36" t="str">
        <f>HYPERLINK("","")</f>
        <v/>
      </c>
      <c r="Z1697" s="23"/>
      <c r="AT1697" s="1">
        <f t="shared" si="318"/>
        <v>0</v>
      </c>
      <c r="AU1697" s="1">
        <f t="shared" si="319"/>
        <v>0</v>
      </c>
      <c r="AV1697" s="1">
        <f t="shared" si="320"/>
        <v>0</v>
      </c>
      <c r="AW1697" s="1">
        <f t="shared" si="321"/>
        <v>0</v>
      </c>
      <c r="AX1697" s="1">
        <f t="shared" si="322"/>
        <v>0</v>
      </c>
    </row>
    <row r="1698" spans="1:50" s="1" customFormat="1" ht="24.95" customHeight="1" outlineLevel="3" x14ac:dyDescent="0.2">
      <c r="A1698" s="21"/>
      <c r="B1698" s="22">
        <v>360</v>
      </c>
      <c r="C1698" s="22">
        <v>590</v>
      </c>
      <c r="D1698" s="22">
        <v>28526</v>
      </c>
      <c r="E1698" s="23" t="s">
        <v>5505</v>
      </c>
      <c r="F1698" s="23" t="s">
        <v>5506</v>
      </c>
      <c r="G1698" s="23" t="s">
        <v>163</v>
      </c>
      <c r="H1698" s="23" t="s">
        <v>164</v>
      </c>
      <c r="I1698" s="22">
        <v>2023</v>
      </c>
      <c r="J1698" s="23" t="s">
        <v>5507</v>
      </c>
      <c r="K1698" s="22">
        <v>9785961489248</v>
      </c>
      <c r="L1698" s="23" t="s">
        <v>5508</v>
      </c>
      <c r="M1698" s="22">
        <v>30</v>
      </c>
      <c r="N1698" s="24">
        <v>0.15</v>
      </c>
      <c r="O1698" s="22">
        <v>180</v>
      </c>
      <c r="P1698" s="22">
        <v>190</v>
      </c>
      <c r="Q1698" s="22">
        <v>40</v>
      </c>
      <c r="R1698" s="23" t="s">
        <v>100</v>
      </c>
      <c r="S1698" s="23" t="s">
        <v>5509</v>
      </c>
      <c r="T1698" s="25">
        <v>2000</v>
      </c>
      <c r="U1698" s="23" t="s">
        <v>52</v>
      </c>
      <c r="V1698" s="23" t="s">
        <v>64</v>
      </c>
      <c r="W1698" s="22">
        <v>10</v>
      </c>
      <c r="X1698" s="35" t="str">
        <f>HYPERLINK("https://www.alpinabook.ru/catalog/book-konni-i-neznakomets","ссылка на книгу")</f>
        <v>ссылка на книгу</v>
      </c>
      <c r="Y1698" s="36" t="str">
        <f>HYPERLINK("https://api-enni.alpina.ru/FileCertificateProject/454","https://api-enni.alpina.ru/FileCertificateProject/454")</f>
        <v>https://api-enni.alpina.ru/FileCertificateProject/454</v>
      </c>
      <c r="Z1698" s="23"/>
      <c r="AT1698" s="1">
        <f t="shared" si="318"/>
        <v>0</v>
      </c>
      <c r="AU1698" s="1">
        <f t="shared" si="319"/>
        <v>0</v>
      </c>
      <c r="AV1698" s="1">
        <f t="shared" si="320"/>
        <v>0</v>
      </c>
      <c r="AW1698" s="1">
        <f t="shared" si="321"/>
        <v>0</v>
      </c>
      <c r="AX1698" s="1">
        <f t="shared" si="322"/>
        <v>0</v>
      </c>
    </row>
    <row r="1699" spans="1:50" s="1" customFormat="1" ht="24.95" customHeight="1" outlineLevel="3" x14ac:dyDescent="0.2">
      <c r="A1699" s="21"/>
      <c r="B1699" s="22">
        <v>440</v>
      </c>
      <c r="C1699" s="22">
        <v>690</v>
      </c>
      <c r="D1699" s="22">
        <v>28524</v>
      </c>
      <c r="E1699" s="23" t="s">
        <v>5505</v>
      </c>
      <c r="F1699" s="23" t="s">
        <v>5510</v>
      </c>
      <c r="G1699" s="23" t="s">
        <v>163</v>
      </c>
      <c r="H1699" s="23" t="s">
        <v>164</v>
      </c>
      <c r="I1699" s="22">
        <v>2024</v>
      </c>
      <c r="J1699" s="23" t="s">
        <v>5511</v>
      </c>
      <c r="K1699" s="22">
        <v>9785961489231</v>
      </c>
      <c r="L1699" s="23" t="s">
        <v>5512</v>
      </c>
      <c r="M1699" s="22">
        <v>32</v>
      </c>
      <c r="N1699" s="24">
        <v>0.15</v>
      </c>
      <c r="O1699" s="22">
        <v>180</v>
      </c>
      <c r="P1699" s="22">
        <v>190</v>
      </c>
      <c r="Q1699" s="22">
        <v>25</v>
      </c>
      <c r="R1699" s="23" t="s">
        <v>100</v>
      </c>
      <c r="S1699" s="23" t="s">
        <v>5509</v>
      </c>
      <c r="T1699" s="25">
        <v>4000</v>
      </c>
      <c r="U1699" s="23" t="s">
        <v>52</v>
      </c>
      <c r="V1699" s="23" t="s">
        <v>64</v>
      </c>
      <c r="W1699" s="22">
        <v>10</v>
      </c>
      <c r="X1699" s="35" t="str">
        <f>HYPERLINK("https://www.alpinabook.ru/catalog/book-konni-idet-v-detskiy-sad","ссылка на книгу")</f>
        <v>ссылка на книгу</v>
      </c>
      <c r="Y1699" s="36" t="str">
        <f>HYPERLINK("https://api-enni.alpina.ru/FileCertificateProject/459","https://api-enni.alpina.ru/FileCertificateProject/459")</f>
        <v>https://api-enni.alpina.ru/FileCertificateProject/459</v>
      </c>
      <c r="Z1699" s="23"/>
      <c r="AT1699" s="1">
        <f t="shared" si="318"/>
        <v>0</v>
      </c>
      <c r="AU1699" s="1">
        <f t="shared" si="319"/>
        <v>0</v>
      </c>
      <c r="AV1699" s="1">
        <f t="shared" si="320"/>
        <v>0</v>
      </c>
      <c r="AW1699" s="1">
        <f t="shared" si="321"/>
        <v>0</v>
      </c>
      <c r="AX1699" s="1">
        <f t="shared" si="322"/>
        <v>0</v>
      </c>
    </row>
    <row r="1700" spans="1:50" s="1" customFormat="1" ht="24.95" customHeight="1" outlineLevel="3" x14ac:dyDescent="0.2">
      <c r="A1700" s="26"/>
      <c r="B1700" s="27">
        <v>360</v>
      </c>
      <c r="C1700" s="27">
        <v>360</v>
      </c>
      <c r="D1700" s="27">
        <v>12775</v>
      </c>
      <c r="E1700" s="29" t="s">
        <v>5505</v>
      </c>
      <c r="F1700" s="29" t="s">
        <v>5513</v>
      </c>
      <c r="G1700" s="29" t="s">
        <v>163</v>
      </c>
      <c r="H1700" s="29" t="s">
        <v>164</v>
      </c>
      <c r="I1700" s="27">
        <v>2022</v>
      </c>
      <c r="J1700" s="29" t="s">
        <v>5514</v>
      </c>
      <c r="K1700" s="27">
        <v>9785961427271</v>
      </c>
      <c r="L1700" s="29" t="s">
        <v>5515</v>
      </c>
      <c r="M1700" s="27">
        <v>32</v>
      </c>
      <c r="N1700" s="30">
        <v>0.26</v>
      </c>
      <c r="O1700" s="27">
        <v>5</v>
      </c>
      <c r="P1700" s="27">
        <v>6</v>
      </c>
      <c r="Q1700" s="27">
        <v>18</v>
      </c>
      <c r="R1700" s="29" t="s">
        <v>100</v>
      </c>
      <c r="S1700" s="29" t="s">
        <v>5509</v>
      </c>
      <c r="T1700" s="28">
        <v>2500</v>
      </c>
      <c r="U1700" s="29" t="s">
        <v>52</v>
      </c>
      <c r="V1700" s="29" t="s">
        <v>64</v>
      </c>
      <c r="W1700" s="27">
        <v>10</v>
      </c>
      <c r="X1700" s="37" t="str">
        <f>HYPERLINK("https://www.alpinabook.ru/catalog/book-konni-ne-mozhet-usnut","ссылка на книгу")</f>
        <v>ссылка на книгу</v>
      </c>
      <c r="Y1700" s="38" t="str">
        <f>HYPERLINK("https://api-enni.alpina.ru/FileCertificateProject/455","https://api-enni.alpina.ru/FileCertificateProject/455")</f>
        <v>https://api-enni.alpina.ru/FileCertificateProject/455</v>
      </c>
      <c r="Z1700" s="29"/>
      <c r="AT1700" s="1">
        <f t="shared" si="318"/>
        <v>0</v>
      </c>
      <c r="AU1700" s="1">
        <f t="shared" si="319"/>
        <v>0</v>
      </c>
      <c r="AV1700" s="1">
        <f t="shared" si="320"/>
        <v>0</v>
      </c>
      <c r="AW1700" s="1">
        <f t="shared" si="321"/>
        <v>0</v>
      </c>
      <c r="AX1700" s="1">
        <f t="shared" si="322"/>
        <v>0</v>
      </c>
    </row>
    <row r="1701" spans="1:50" s="1" customFormat="1" ht="24.95" customHeight="1" outlineLevel="3" x14ac:dyDescent="0.2">
      <c r="A1701" s="26"/>
      <c r="B1701" s="27">
        <v>490</v>
      </c>
      <c r="C1701" s="27">
        <v>740</v>
      </c>
      <c r="D1701" s="27">
        <v>28531</v>
      </c>
      <c r="E1701" s="29" t="s">
        <v>5505</v>
      </c>
      <c r="F1701" s="29" t="s">
        <v>5513</v>
      </c>
      <c r="G1701" s="29" t="s">
        <v>163</v>
      </c>
      <c r="H1701" s="29" t="s">
        <v>164</v>
      </c>
      <c r="I1701" s="27">
        <v>2023</v>
      </c>
      <c r="J1701" s="29" t="s">
        <v>5516</v>
      </c>
      <c r="K1701" s="27">
        <v>9785961489262</v>
      </c>
      <c r="L1701" s="29" t="s">
        <v>5517</v>
      </c>
      <c r="M1701" s="27">
        <v>32</v>
      </c>
      <c r="N1701" s="30">
        <v>0.15</v>
      </c>
      <c r="O1701" s="27">
        <v>180</v>
      </c>
      <c r="P1701" s="27">
        <v>190</v>
      </c>
      <c r="Q1701" s="27">
        <v>40</v>
      </c>
      <c r="R1701" s="29" t="s">
        <v>100</v>
      </c>
      <c r="S1701" s="29" t="s">
        <v>5509</v>
      </c>
      <c r="T1701" s="28">
        <v>2000</v>
      </c>
      <c r="U1701" s="29" t="s">
        <v>52</v>
      </c>
      <c r="V1701" s="29" t="s">
        <v>64</v>
      </c>
      <c r="W1701" s="27">
        <v>10</v>
      </c>
      <c r="X1701" s="37" t="str">
        <f>HYPERLINK("https://www.alpinabook.ru/catalog/book-konni-ne-mozhet-usnut","ссылка на книгу")</f>
        <v>ссылка на книгу</v>
      </c>
      <c r="Y1701" s="38" t="str">
        <f>HYPERLINK("https://api-enni.alpina.ru/FileCertificateProject/455","https://api-enni.alpina.ru/FileCertificateProject/455")</f>
        <v>https://api-enni.alpina.ru/FileCertificateProject/455</v>
      </c>
      <c r="Z1701" s="29"/>
      <c r="AT1701" s="1">
        <f t="shared" si="318"/>
        <v>0</v>
      </c>
      <c r="AU1701" s="1">
        <f t="shared" si="319"/>
        <v>0</v>
      </c>
      <c r="AV1701" s="1">
        <f t="shared" si="320"/>
        <v>0</v>
      </c>
      <c r="AW1701" s="1">
        <f t="shared" si="321"/>
        <v>0</v>
      </c>
      <c r="AX1701" s="1">
        <f t="shared" si="322"/>
        <v>0</v>
      </c>
    </row>
    <row r="1702" spans="1:50" s="1" customFormat="1" ht="24.95" customHeight="1" outlineLevel="3" x14ac:dyDescent="0.2">
      <c r="A1702" s="21"/>
      <c r="B1702" s="22">
        <v>490</v>
      </c>
      <c r="C1702" s="22">
        <v>740</v>
      </c>
      <c r="D1702" s="22">
        <v>30056</v>
      </c>
      <c r="E1702" s="23" t="s">
        <v>5505</v>
      </c>
      <c r="F1702" s="23" t="s">
        <v>5518</v>
      </c>
      <c r="G1702" s="23" t="s">
        <v>163</v>
      </c>
      <c r="H1702" s="23" t="s">
        <v>164</v>
      </c>
      <c r="I1702" s="22">
        <v>2025</v>
      </c>
      <c r="J1702" s="23" t="s">
        <v>5519</v>
      </c>
      <c r="K1702" s="22">
        <v>9785961494662</v>
      </c>
      <c r="L1702" s="23" t="s">
        <v>5520</v>
      </c>
      <c r="M1702" s="22">
        <v>28</v>
      </c>
      <c r="N1702" s="24">
        <v>0.17</v>
      </c>
      <c r="O1702" s="22">
        <v>180</v>
      </c>
      <c r="P1702" s="22">
        <v>190</v>
      </c>
      <c r="Q1702" s="22">
        <v>20</v>
      </c>
      <c r="R1702" s="23" t="s">
        <v>100</v>
      </c>
      <c r="S1702" s="23" t="s">
        <v>5509</v>
      </c>
      <c r="T1702" s="25">
        <v>1500</v>
      </c>
      <c r="U1702" s="23" t="s">
        <v>52</v>
      </c>
      <c r="V1702" s="23" t="s">
        <v>64</v>
      </c>
      <c r="W1702" s="22">
        <v>10</v>
      </c>
      <c r="X1702" s="35" t="str">
        <f>HYPERLINK("https://www.alpinabook.ru/catalog/book-konni-pomogaet-mame","ссылка на книгу")</f>
        <v>ссылка на книгу</v>
      </c>
      <c r="Y1702" s="36" t="str">
        <f>HYPERLINK("https://api-enni.alpina.ru/FileCertificateProject/518","https://api-enni.alpina.ru/FileCertificateProject/518")</f>
        <v>https://api-enni.alpina.ru/FileCertificateProject/518</v>
      </c>
      <c r="Z1702" s="23" t="s">
        <v>1312</v>
      </c>
      <c r="AT1702" s="1">
        <f t="shared" si="318"/>
        <v>0</v>
      </c>
      <c r="AU1702" s="1">
        <f t="shared" si="319"/>
        <v>0</v>
      </c>
      <c r="AV1702" s="1">
        <f t="shared" si="320"/>
        <v>0</v>
      </c>
      <c r="AW1702" s="1">
        <f t="shared" si="321"/>
        <v>0</v>
      </c>
      <c r="AX1702" s="1">
        <f t="shared" si="322"/>
        <v>0</v>
      </c>
    </row>
    <row r="1703" spans="1:50" s="1" customFormat="1" ht="24.95" customHeight="1" outlineLevel="3" x14ac:dyDescent="0.2">
      <c r="A1703" s="21"/>
      <c r="B1703" s="22">
        <v>550</v>
      </c>
      <c r="C1703" s="22">
        <v>790</v>
      </c>
      <c r="D1703" s="22">
        <v>30675</v>
      </c>
      <c r="E1703" s="23" t="s">
        <v>5487</v>
      </c>
      <c r="F1703" s="23" t="s">
        <v>5521</v>
      </c>
      <c r="G1703" s="23" t="s">
        <v>163</v>
      </c>
      <c r="H1703" s="23" t="s">
        <v>164</v>
      </c>
      <c r="I1703" s="22">
        <v>2024</v>
      </c>
      <c r="J1703" s="23" t="s">
        <v>5522</v>
      </c>
      <c r="K1703" s="22">
        <v>9785961496826</v>
      </c>
      <c r="L1703" s="23" t="s">
        <v>5523</v>
      </c>
      <c r="M1703" s="22">
        <v>104</v>
      </c>
      <c r="N1703" s="24">
        <v>0.39</v>
      </c>
      <c r="O1703" s="22">
        <v>180</v>
      </c>
      <c r="P1703" s="22">
        <v>250</v>
      </c>
      <c r="Q1703" s="22">
        <v>12</v>
      </c>
      <c r="R1703" s="23" t="s">
        <v>94</v>
      </c>
      <c r="S1703" s="23" t="s">
        <v>5524</v>
      </c>
      <c r="T1703" s="25">
        <v>3000</v>
      </c>
      <c r="U1703" s="23" t="s">
        <v>52</v>
      </c>
      <c r="V1703" s="23" t="s">
        <v>269</v>
      </c>
      <c r="W1703" s="22">
        <v>10</v>
      </c>
      <c r="X1703" s="35" t="str">
        <f>HYPERLINK("https://www.alpinabook.ru/catalog/book-ledentsovaya-banda-ishchet-priklyucheniy","ссылка на книгу")</f>
        <v>ссылка на книгу</v>
      </c>
      <c r="Y1703" s="36" t="str">
        <f>HYPERLINK("https://api-enni.alpina.ru/FileCertificateProject/714","https://api-enni.alpina.ru/FileCertificateProject/714")</f>
        <v>https://api-enni.alpina.ru/FileCertificateProject/714</v>
      </c>
      <c r="Z1703" s="23"/>
      <c r="AT1703" s="1">
        <f t="shared" si="318"/>
        <v>0</v>
      </c>
      <c r="AU1703" s="1">
        <f t="shared" si="319"/>
        <v>0</v>
      </c>
      <c r="AV1703" s="1">
        <f t="shared" si="320"/>
        <v>0</v>
      </c>
      <c r="AW1703" s="1">
        <f t="shared" si="321"/>
        <v>0</v>
      </c>
      <c r="AX1703" s="1">
        <f t="shared" si="322"/>
        <v>0</v>
      </c>
    </row>
    <row r="1704" spans="1:50" s="1" customFormat="1" ht="24.95" customHeight="1" outlineLevel="3" x14ac:dyDescent="0.2">
      <c r="A1704" s="21"/>
      <c r="B1704" s="22">
        <v>550</v>
      </c>
      <c r="C1704" s="22">
        <v>790</v>
      </c>
      <c r="D1704" s="22">
        <v>30737</v>
      </c>
      <c r="E1704" s="23" t="s">
        <v>5487</v>
      </c>
      <c r="F1704" s="23" t="s">
        <v>5525</v>
      </c>
      <c r="G1704" s="23" t="s">
        <v>163</v>
      </c>
      <c r="H1704" s="23" t="s">
        <v>164</v>
      </c>
      <c r="I1704" s="22">
        <v>2024</v>
      </c>
      <c r="J1704" s="23" t="s">
        <v>5526</v>
      </c>
      <c r="K1704" s="22">
        <v>9785961496833</v>
      </c>
      <c r="L1704" s="23" t="s">
        <v>5527</v>
      </c>
      <c r="M1704" s="22">
        <v>112</v>
      </c>
      <c r="N1704" s="24">
        <v>0.4</v>
      </c>
      <c r="O1704" s="22">
        <v>180</v>
      </c>
      <c r="P1704" s="22">
        <v>250</v>
      </c>
      <c r="Q1704" s="22">
        <v>10</v>
      </c>
      <c r="R1704" s="23" t="s">
        <v>94</v>
      </c>
      <c r="S1704" s="23" t="s">
        <v>5524</v>
      </c>
      <c r="T1704" s="25">
        <v>3000</v>
      </c>
      <c r="U1704" s="23" t="s">
        <v>52</v>
      </c>
      <c r="V1704" s="23" t="s">
        <v>269</v>
      </c>
      <c r="W1704" s="22">
        <v>10</v>
      </c>
      <c r="X1704" s="35" t="str">
        <f>HYPERLINK("https://www.alpinabook.ru/catalog/book-ledentsovaya-banda-ukroshchaet-drakona","ссылка на книгу")</f>
        <v>ссылка на книгу</v>
      </c>
      <c r="Y1704" s="36" t="str">
        <f>HYPERLINK("https://api-enni.alpina.ru/FileCertificateProject/715","https://api-enni.alpina.ru/FileCertificateProject/715")</f>
        <v>https://api-enni.alpina.ru/FileCertificateProject/715</v>
      </c>
      <c r="Z1704" s="23"/>
      <c r="AT1704" s="1">
        <f t="shared" si="318"/>
        <v>0</v>
      </c>
      <c r="AU1704" s="1">
        <f t="shared" si="319"/>
        <v>0</v>
      </c>
      <c r="AV1704" s="1">
        <f t="shared" si="320"/>
        <v>0</v>
      </c>
      <c r="AW1704" s="1">
        <f t="shared" si="321"/>
        <v>0</v>
      </c>
      <c r="AX1704" s="1">
        <f t="shared" si="322"/>
        <v>0</v>
      </c>
    </row>
    <row r="1705" spans="1:50" s="1" customFormat="1" ht="24.95" customHeight="1" outlineLevel="3" x14ac:dyDescent="0.2">
      <c r="A1705" s="21"/>
      <c r="B1705" s="22">
        <v>590</v>
      </c>
      <c r="C1705" s="22">
        <v>840</v>
      </c>
      <c r="D1705" s="22">
        <v>31330</v>
      </c>
      <c r="E1705" s="23" t="s">
        <v>5528</v>
      </c>
      <c r="F1705" s="23" t="s">
        <v>5529</v>
      </c>
      <c r="G1705" s="23" t="s">
        <v>163</v>
      </c>
      <c r="H1705" s="23" t="s">
        <v>40</v>
      </c>
      <c r="I1705" s="22">
        <v>2025</v>
      </c>
      <c r="J1705" s="23" t="s">
        <v>5530</v>
      </c>
      <c r="K1705" s="22">
        <v>9785961498257</v>
      </c>
      <c r="L1705" s="23" t="s">
        <v>5531</v>
      </c>
      <c r="M1705" s="22">
        <v>144</v>
      </c>
      <c r="N1705" s="24">
        <v>0.23</v>
      </c>
      <c r="O1705" s="22">
        <v>150</v>
      </c>
      <c r="P1705" s="22">
        <v>220</v>
      </c>
      <c r="Q1705" s="22">
        <v>20</v>
      </c>
      <c r="R1705" s="23" t="s">
        <v>43</v>
      </c>
      <c r="S1705" s="23"/>
      <c r="T1705" s="25">
        <v>2000</v>
      </c>
      <c r="U1705" s="23" t="s">
        <v>52</v>
      </c>
      <c r="V1705" s="23" t="s">
        <v>269</v>
      </c>
      <c r="W1705" s="22">
        <v>10</v>
      </c>
      <c r="X1705" s="35" t="str">
        <f>HYPERLINK("https://www.alpinabook.ru/catalog/book-magnoliya-u","ссылка на книгу")</f>
        <v>ссылка на книгу</v>
      </c>
      <c r="Y1705" s="36" t="str">
        <f>HYPERLINK("https://api-enni.alpina.ru/FileCertificateProject/494","https://api-enni.alpina.ru/FileCertificateProject/494")</f>
        <v>https://api-enni.alpina.ru/FileCertificateProject/494</v>
      </c>
      <c r="Z1705" s="23"/>
      <c r="AT1705" s="1">
        <f t="shared" si="318"/>
        <v>0</v>
      </c>
      <c r="AU1705" s="1">
        <f t="shared" si="319"/>
        <v>0</v>
      </c>
      <c r="AV1705" s="1">
        <f t="shared" si="320"/>
        <v>0</v>
      </c>
      <c r="AW1705" s="1">
        <f t="shared" si="321"/>
        <v>0</v>
      </c>
      <c r="AX1705" s="1">
        <f t="shared" si="322"/>
        <v>0</v>
      </c>
    </row>
    <row r="1706" spans="1:50" s="1" customFormat="1" ht="24.95" customHeight="1" outlineLevel="3" x14ac:dyDescent="0.2">
      <c r="A1706" s="21"/>
      <c r="B1706" s="25">
        <v>1190</v>
      </c>
      <c r="C1706" s="25">
        <v>1690</v>
      </c>
      <c r="D1706" s="22">
        <v>18190</v>
      </c>
      <c r="E1706" s="23" t="s">
        <v>2162</v>
      </c>
      <c r="F1706" s="23" t="s">
        <v>5532</v>
      </c>
      <c r="G1706" s="23" t="s">
        <v>86</v>
      </c>
      <c r="H1706" s="23" t="s">
        <v>164</v>
      </c>
      <c r="I1706" s="22">
        <v>2024</v>
      </c>
      <c r="J1706" s="23" t="s">
        <v>5533</v>
      </c>
      <c r="K1706" s="22">
        <v>9785001395225</v>
      </c>
      <c r="L1706" s="23" t="s">
        <v>5534</v>
      </c>
      <c r="M1706" s="22">
        <v>408</v>
      </c>
      <c r="N1706" s="24">
        <v>0.86</v>
      </c>
      <c r="O1706" s="22">
        <v>170</v>
      </c>
      <c r="P1706" s="22">
        <v>220</v>
      </c>
      <c r="Q1706" s="22">
        <v>5</v>
      </c>
      <c r="R1706" s="23" t="s">
        <v>100</v>
      </c>
      <c r="S1706" s="23"/>
      <c r="T1706" s="25">
        <v>7000</v>
      </c>
      <c r="U1706" s="23" t="s">
        <v>52</v>
      </c>
      <c r="V1706" s="23" t="s">
        <v>89</v>
      </c>
      <c r="W1706" s="22">
        <v>10</v>
      </c>
      <c r="X1706" s="35" t="str">
        <f>HYPERLINK("https://www.alpinabook.ru/catalog/book-malenkaya-vsemirnaya-istoriya","ссылка на книгу")</f>
        <v>ссылка на книгу</v>
      </c>
      <c r="Y1706" s="36" t="str">
        <f>HYPERLINK("https://api-enni.alpina.ru/FilePrivilegesApproval/185","https://api-enni.alpina.ru/FilePrivilegesApproval/185")</f>
        <v>https://api-enni.alpina.ru/FilePrivilegesApproval/185</v>
      </c>
      <c r="Z1706" s="23"/>
      <c r="AT1706" s="1">
        <f t="shared" si="318"/>
        <v>0</v>
      </c>
      <c r="AU1706" s="1">
        <f t="shared" si="319"/>
        <v>0</v>
      </c>
      <c r="AV1706" s="1">
        <f t="shared" si="320"/>
        <v>0</v>
      </c>
      <c r="AW1706" s="1">
        <f t="shared" si="321"/>
        <v>0</v>
      </c>
      <c r="AX1706" s="1">
        <f t="shared" si="322"/>
        <v>0</v>
      </c>
    </row>
    <row r="1707" spans="1:50" s="1" customFormat="1" ht="24.95" customHeight="1" outlineLevel="3" x14ac:dyDescent="0.2">
      <c r="A1707" s="21"/>
      <c r="B1707" s="22">
        <v>690</v>
      </c>
      <c r="C1707" s="22">
        <v>990</v>
      </c>
      <c r="D1707" s="22">
        <v>27243</v>
      </c>
      <c r="E1707" s="23" t="s">
        <v>3177</v>
      </c>
      <c r="F1707" s="23" t="s">
        <v>5535</v>
      </c>
      <c r="G1707" s="23" t="s">
        <v>163</v>
      </c>
      <c r="H1707" s="23"/>
      <c r="I1707" s="22">
        <v>2024</v>
      </c>
      <c r="J1707" s="23" t="s">
        <v>5536</v>
      </c>
      <c r="K1707" s="22">
        <v>9785961484304</v>
      </c>
      <c r="L1707" s="23" t="s">
        <v>5537</v>
      </c>
      <c r="M1707" s="22">
        <v>72</v>
      </c>
      <c r="N1707" s="24">
        <v>0.45</v>
      </c>
      <c r="O1707" s="22">
        <v>210</v>
      </c>
      <c r="P1707" s="22">
        <v>260</v>
      </c>
      <c r="Q1707" s="22">
        <v>12</v>
      </c>
      <c r="R1707" s="23" t="s">
        <v>300</v>
      </c>
      <c r="S1707" s="23"/>
      <c r="T1707" s="25">
        <v>2000</v>
      </c>
      <c r="U1707" s="23" t="s">
        <v>52</v>
      </c>
      <c r="V1707" s="23" t="s">
        <v>59</v>
      </c>
      <c r="W1707" s="22">
        <v>10</v>
      </c>
      <c r="X1707" s="35" t="str">
        <f>HYPERLINK("https://www.alpinabook.ru/catalog/book-opery-i-prizraki","ссылка на книгу")</f>
        <v>ссылка на книгу</v>
      </c>
      <c r="Y1707" s="36" t="str">
        <f>HYPERLINK("https://api-enni.alpina.ru/FileCertificateProject/612","https://api-enni.alpina.ru/FileCertificateProject/612")</f>
        <v>https://api-enni.alpina.ru/FileCertificateProject/612</v>
      </c>
      <c r="Z1707" s="23"/>
      <c r="AT1707" s="1">
        <f t="shared" si="318"/>
        <v>0</v>
      </c>
      <c r="AU1707" s="1">
        <f t="shared" si="319"/>
        <v>0</v>
      </c>
      <c r="AV1707" s="1">
        <f t="shared" si="320"/>
        <v>0</v>
      </c>
      <c r="AW1707" s="1">
        <f t="shared" si="321"/>
        <v>0</v>
      </c>
      <c r="AX1707" s="1">
        <f t="shared" si="322"/>
        <v>0</v>
      </c>
    </row>
    <row r="1708" spans="1:50" s="1" customFormat="1" ht="24.95" customHeight="1" outlineLevel="3" x14ac:dyDescent="0.2">
      <c r="A1708" s="21"/>
      <c r="B1708" s="22">
        <v>390</v>
      </c>
      <c r="C1708" s="22">
        <v>640</v>
      </c>
      <c r="D1708" s="22">
        <v>28890</v>
      </c>
      <c r="E1708" s="23" t="s">
        <v>5538</v>
      </c>
      <c r="F1708" s="23" t="s">
        <v>5539</v>
      </c>
      <c r="G1708" s="23" t="s">
        <v>163</v>
      </c>
      <c r="H1708" s="23" t="s">
        <v>164</v>
      </c>
      <c r="I1708" s="22">
        <v>2024</v>
      </c>
      <c r="J1708" s="23" t="s">
        <v>5540</v>
      </c>
      <c r="K1708" s="22">
        <v>9785961490503</v>
      </c>
      <c r="L1708" s="23" t="s">
        <v>5541</v>
      </c>
      <c r="M1708" s="22">
        <v>24</v>
      </c>
      <c r="N1708" s="24">
        <v>0.26</v>
      </c>
      <c r="O1708" s="22">
        <v>180</v>
      </c>
      <c r="P1708" s="22">
        <v>180</v>
      </c>
      <c r="Q1708" s="22">
        <v>19</v>
      </c>
      <c r="R1708" s="23" t="s">
        <v>167</v>
      </c>
      <c r="S1708" s="23" t="s">
        <v>5542</v>
      </c>
      <c r="T1708" s="25">
        <v>5000</v>
      </c>
      <c r="U1708" s="23" t="s">
        <v>44</v>
      </c>
      <c r="V1708" s="23" t="s">
        <v>64</v>
      </c>
      <c r="W1708" s="22">
        <v>10</v>
      </c>
      <c r="X1708" s="35" t="str">
        <f>HYPERLINK("https://www.alpinabook.ru/catalog/book-porosyenok-ves-den-kapriznichaet","ссылка на книгу")</f>
        <v>ссылка на книгу</v>
      </c>
      <c r="Y1708" s="36" t="str">
        <f>HYPERLINK("","")</f>
        <v/>
      </c>
      <c r="Z1708" s="23"/>
      <c r="AT1708" s="1">
        <f t="shared" si="318"/>
        <v>0</v>
      </c>
      <c r="AU1708" s="1">
        <f t="shared" si="319"/>
        <v>0</v>
      </c>
      <c r="AV1708" s="1">
        <f t="shared" si="320"/>
        <v>0</v>
      </c>
      <c r="AW1708" s="1">
        <f t="shared" si="321"/>
        <v>0</v>
      </c>
      <c r="AX1708" s="1">
        <f t="shared" si="322"/>
        <v>0</v>
      </c>
    </row>
    <row r="1709" spans="1:50" s="1" customFormat="1" ht="21.95" customHeight="1" outlineLevel="3" x14ac:dyDescent="0.2">
      <c r="A1709" s="21"/>
      <c r="B1709" s="22">
        <v>560</v>
      </c>
      <c r="C1709" s="22">
        <v>840</v>
      </c>
      <c r="D1709" s="22">
        <v>30658</v>
      </c>
      <c r="E1709" s="23" t="s">
        <v>5543</v>
      </c>
      <c r="F1709" s="23" t="s">
        <v>5544</v>
      </c>
      <c r="G1709" s="23" t="s">
        <v>163</v>
      </c>
      <c r="H1709" s="23" t="s">
        <v>164</v>
      </c>
      <c r="I1709" s="22">
        <v>2025</v>
      </c>
      <c r="J1709" s="23" t="s">
        <v>5545</v>
      </c>
      <c r="K1709" s="22">
        <v>9785961498356</v>
      </c>
      <c r="L1709" s="23" t="s">
        <v>5546</v>
      </c>
      <c r="M1709" s="22">
        <v>128</v>
      </c>
      <c r="N1709" s="24">
        <v>0.3</v>
      </c>
      <c r="O1709" s="22">
        <v>150</v>
      </c>
      <c r="P1709" s="22">
        <v>220</v>
      </c>
      <c r="Q1709" s="22">
        <v>22</v>
      </c>
      <c r="R1709" s="23" t="s">
        <v>43</v>
      </c>
      <c r="S1709" s="23"/>
      <c r="T1709" s="25">
        <v>2000</v>
      </c>
      <c r="U1709" s="23" t="s">
        <v>52</v>
      </c>
      <c r="V1709" s="23" t="s">
        <v>269</v>
      </c>
      <c r="W1709" s="22">
        <v>10</v>
      </c>
      <c r="X1709" s="35" t="str">
        <f>HYPERLINK("https://www.alpinabook.ru/catalog/book-priklyucheniya-konrada-fryulinga","ссылка на книгу")</f>
        <v>ссылка на книгу</v>
      </c>
      <c r="Y1709" s="36" t="str">
        <f>HYPERLINK("","")</f>
        <v/>
      </c>
      <c r="Z1709" s="23"/>
      <c r="AT1709" s="1">
        <f t="shared" si="318"/>
        <v>0</v>
      </c>
      <c r="AU1709" s="1">
        <f t="shared" si="319"/>
        <v>0</v>
      </c>
      <c r="AV1709" s="1">
        <f t="shared" si="320"/>
        <v>0</v>
      </c>
      <c r="AW1709" s="1">
        <f t="shared" si="321"/>
        <v>0</v>
      </c>
      <c r="AX1709" s="1">
        <f t="shared" si="322"/>
        <v>0</v>
      </c>
    </row>
    <row r="1710" spans="1:50" s="1" customFormat="1" ht="24.95" customHeight="1" outlineLevel="3" x14ac:dyDescent="0.2">
      <c r="A1710" s="21"/>
      <c r="B1710" s="22">
        <v>390</v>
      </c>
      <c r="C1710" s="22">
        <v>390</v>
      </c>
      <c r="D1710" s="22">
        <v>23956</v>
      </c>
      <c r="E1710" s="23" t="s">
        <v>5547</v>
      </c>
      <c r="F1710" s="23" t="s">
        <v>5548</v>
      </c>
      <c r="G1710" s="23" t="s">
        <v>163</v>
      </c>
      <c r="H1710" s="23" t="s">
        <v>40</v>
      </c>
      <c r="I1710" s="22">
        <v>2023</v>
      </c>
      <c r="J1710" s="23" t="s">
        <v>5549</v>
      </c>
      <c r="K1710" s="22">
        <v>9785961474299</v>
      </c>
      <c r="L1710" s="23" t="s">
        <v>5550</v>
      </c>
      <c r="M1710" s="22">
        <v>32</v>
      </c>
      <c r="N1710" s="24">
        <v>0.28000000000000003</v>
      </c>
      <c r="O1710" s="22">
        <v>210</v>
      </c>
      <c r="P1710" s="22">
        <v>210</v>
      </c>
      <c r="Q1710" s="22">
        <v>18</v>
      </c>
      <c r="R1710" s="23" t="s">
        <v>167</v>
      </c>
      <c r="S1710" s="23" t="s">
        <v>5551</v>
      </c>
      <c r="T1710" s="25">
        <v>3000</v>
      </c>
      <c r="U1710" s="23" t="s">
        <v>52</v>
      </c>
      <c r="V1710" s="23" t="s">
        <v>64</v>
      </c>
      <c r="W1710" s="22">
        <v>10</v>
      </c>
      <c r="X1710" s="35" t="str">
        <f>HYPERLINK("https://www.alpinabook.ru/catalog/book-problema-na-vodopoe","ссылка на книгу")</f>
        <v>ссылка на книгу</v>
      </c>
      <c r="Y1710" s="36" t="str">
        <f>HYPERLINK("https://api-enni.alpina.ru/FileCertificateProject/557","https://api-enni.alpina.ru/FileCertificateProject/557")</f>
        <v>https://api-enni.alpina.ru/FileCertificateProject/557</v>
      </c>
      <c r="Z1710" s="23"/>
      <c r="AT1710" s="1">
        <f t="shared" si="318"/>
        <v>0</v>
      </c>
      <c r="AU1710" s="1">
        <f t="shared" si="319"/>
        <v>0</v>
      </c>
      <c r="AV1710" s="1">
        <f t="shared" si="320"/>
        <v>0</v>
      </c>
      <c r="AW1710" s="1">
        <f t="shared" si="321"/>
        <v>0</v>
      </c>
      <c r="AX1710" s="1">
        <f t="shared" si="322"/>
        <v>0</v>
      </c>
    </row>
    <row r="1711" spans="1:50" s="1" customFormat="1" ht="24.95" customHeight="1" outlineLevel="3" x14ac:dyDescent="0.2">
      <c r="A1711" s="21"/>
      <c r="B1711" s="22">
        <v>690</v>
      </c>
      <c r="C1711" s="22">
        <v>990</v>
      </c>
      <c r="D1711" s="22">
        <v>28409</v>
      </c>
      <c r="E1711" s="23" t="s">
        <v>5552</v>
      </c>
      <c r="F1711" s="23" t="s">
        <v>5553</v>
      </c>
      <c r="G1711" s="23" t="s">
        <v>163</v>
      </c>
      <c r="H1711" s="23" t="s">
        <v>40</v>
      </c>
      <c r="I1711" s="22">
        <v>2025</v>
      </c>
      <c r="J1711" s="23" t="s">
        <v>5554</v>
      </c>
      <c r="K1711" s="22">
        <v>9785961488807</v>
      </c>
      <c r="L1711" s="23" t="s">
        <v>5555</v>
      </c>
      <c r="M1711" s="22">
        <v>280</v>
      </c>
      <c r="N1711" s="24">
        <v>0.39</v>
      </c>
      <c r="O1711" s="22">
        <v>150</v>
      </c>
      <c r="P1711" s="22">
        <v>220</v>
      </c>
      <c r="Q1711" s="22">
        <v>10</v>
      </c>
      <c r="R1711" s="23" t="s">
        <v>43</v>
      </c>
      <c r="S1711" s="23"/>
      <c r="T1711" s="25">
        <v>2000</v>
      </c>
      <c r="U1711" s="23" t="s">
        <v>52</v>
      </c>
      <c r="V1711" s="23" t="s">
        <v>269</v>
      </c>
      <c r="W1711" s="22">
        <v>10</v>
      </c>
      <c r="X1711" s="35" t="str">
        <f>HYPERLINK("https://www.alpinabook.ru/catalog/book-reziliens","ссылка на книгу")</f>
        <v>ссылка на книгу</v>
      </c>
      <c r="Y1711" s="36" t="str">
        <f>HYPERLINK("https://api-enni.alpina.ru/FileCertificateProject/755","https://api-enni.alpina.ru/FileCertificateProject/755")</f>
        <v>https://api-enni.alpina.ru/FileCertificateProject/755</v>
      </c>
      <c r="Z1711" s="23" t="s">
        <v>865</v>
      </c>
      <c r="AT1711" s="1">
        <f t="shared" si="318"/>
        <v>0</v>
      </c>
      <c r="AU1711" s="1">
        <f t="shared" si="319"/>
        <v>0</v>
      </c>
      <c r="AV1711" s="1">
        <f t="shared" si="320"/>
        <v>0</v>
      </c>
      <c r="AW1711" s="1">
        <f t="shared" si="321"/>
        <v>0</v>
      </c>
      <c r="AX1711" s="1">
        <f t="shared" si="322"/>
        <v>0</v>
      </c>
    </row>
    <row r="1712" spans="1:50" s="1" customFormat="1" ht="24.95" customHeight="1" outlineLevel="3" x14ac:dyDescent="0.2">
      <c r="A1712" s="21"/>
      <c r="B1712" s="22">
        <v>620</v>
      </c>
      <c r="C1712" s="22">
        <v>890</v>
      </c>
      <c r="D1712" s="22">
        <v>26703</v>
      </c>
      <c r="E1712" s="23" t="s">
        <v>5556</v>
      </c>
      <c r="F1712" s="23" t="s">
        <v>5557</v>
      </c>
      <c r="G1712" s="23" t="s">
        <v>163</v>
      </c>
      <c r="H1712" s="23" t="s">
        <v>164</v>
      </c>
      <c r="I1712" s="22">
        <v>2024</v>
      </c>
      <c r="J1712" s="23" t="s">
        <v>5558</v>
      </c>
      <c r="K1712" s="22">
        <v>9785961482683</v>
      </c>
      <c r="L1712" s="23" t="s">
        <v>5559</v>
      </c>
      <c r="M1712" s="22">
        <v>32</v>
      </c>
      <c r="N1712" s="24">
        <v>0.52</v>
      </c>
      <c r="O1712" s="22">
        <v>250</v>
      </c>
      <c r="P1712" s="22">
        <v>340</v>
      </c>
      <c r="Q1712" s="22">
        <v>15</v>
      </c>
      <c r="R1712" s="23" t="s">
        <v>167</v>
      </c>
      <c r="S1712" s="23"/>
      <c r="T1712" s="25">
        <v>4000</v>
      </c>
      <c r="U1712" s="23" t="s">
        <v>52</v>
      </c>
      <c r="V1712" s="23" t="s">
        <v>269</v>
      </c>
      <c r="W1712" s="22">
        <v>10</v>
      </c>
      <c r="X1712" s="35" t="str">
        <f>HYPERLINK("https://www.alpinabook.ru/catalog/book-religii-mira-kto-vo-chto-verit","ссылка на книгу")</f>
        <v>ссылка на книгу</v>
      </c>
      <c r="Y1712" s="36" t="str">
        <f>HYPERLINK("https://api-enni.alpina.ru/FileCertificateProject/733","https://api-enni.alpina.ru/FileCertificateProject/733")</f>
        <v>https://api-enni.alpina.ru/FileCertificateProject/733</v>
      </c>
      <c r="Z1712" s="23"/>
      <c r="AT1712" s="1">
        <f t="shared" si="318"/>
        <v>0</v>
      </c>
      <c r="AU1712" s="1">
        <f t="shared" si="319"/>
        <v>0</v>
      </c>
      <c r="AV1712" s="1">
        <f t="shared" si="320"/>
        <v>0</v>
      </c>
      <c r="AW1712" s="1">
        <f t="shared" si="321"/>
        <v>0</v>
      </c>
      <c r="AX1712" s="1">
        <f t="shared" si="322"/>
        <v>0</v>
      </c>
    </row>
    <row r="1713" spans="1:50" s="1" customFormat="1" ht="24.95" customHeight="1" outlineLevel="3" x14ac:dyDescent="0.2">
      <c r="A1713" s="21"/>
      <c r="B1713" s="22">
        <v>690</v>
      </c>
      <c r="C1713" s="22">
        <v>990</v>
      </c>
      <c r="D1713" s="22">
        <v>26517</v>
      </c>
      <c r="E1713" s="23" t="s">
        <v>5560</v>
      </c>
      <c r="F1713" s="23" t="s">
        <v>5561</v>
      </c>
      <c r="G1713" s="23" t="s">
        <v>163</v>
      </c>
      <c r="H1713" s="23"/>
      <c r="I1713" s="22">
        <v>2023</v>
      </c>
      <c r="J1713" s="23" t="s">
        <v>5562</v>
      </c>
      <c r="K1713" s="22">
        <v>9785961482027</v>
      </c>
      <c r="L1713" s="23" t="s">
        <v>5563</v>
      </c>
      <c r="M1713" s="22">
        <v>56</v>
      </c>
      <c r="N1713" s="24">
        <v>0.38</v>
      </c>
      <c r="O1713" s="22">
        <v>200</v>
      </c>
      <c r="P1713" s="22">
        <v>260</v>
      </c>
      <c r="Q1713" s="22">
        <v>14</v>
      </c>
      <c r="R1713" s="23" t="s">
        <v>300</v>
      </c>
      <c r="S1713" s="23"/>
      <c r="T1713" s="25">
        <v>3000</v>
      </c>
      <c r="U1713" s="23" t="s">
        <v>52</v>
      </c>
      <c r="V1713" s="23" t="s">
        <v>269</v>
      </c>
      <c r="W1713" s="22">
        <v>10</v>
      </c>
      <c r="X1713" s="35" t="str">
        <f>HYPERLINK("https://www.alpinabook.ru/catalog/book-sekrety-koshek","ссылка на книгу")</f>
        <v>ссылка на книгу</v>
      </c>
      <c r="Y1713" s="36" t="str">
        <f>HYPERLINK("https://api-enni.alpina.ru/FileCertificateProject/732","https://api-enni.alpina.ru/FileCertificateProject/732")</f>
        <v>https://api-enni.alpina.ru/FileCertificateProject/732</v>
      </c>
      <c r="Z1713" s="23"/>
      <c r="AT1713" s="1">
        <f t="shared" si="318"/>
        <v>0</v>
      </c>
      <c r="AU1713" s="1">
        <f t="shared" si="319"/>
        <v>0</v>
      </c>
      <c r="AV1713" s="1">
        <f t="shared" si="320"/>
        <v>0</v>
      </c>
      <c r="AW1713" s="1">
        <f t="shared" si="321"/>
        <v>0</v>
      </c>
      <c r="AX1713" s="1">
        <f t="shared" si="322"/>
        <v>0</v>
      </c>
    </row>
    <row r="1714" spans="1:50" s="1" customFormat="1" ht="24.95" customHeight="1" outlineLevel="3" x14ac:dyDescent="0.2">
      <c r="A1714" s="21"/>
      <c r="B1714" s="22">
        <v>560</v>
      </c>
      <c r="C1714" s="22">
        <v>840</v>
      </c>
      <c r="D1714" s="22">
        <v>31644</v>
      </c>
      <c r="E1714" s="23" t="s">
        <v>5564</v>
      </c>
      <c r="F1714" s="23" t="s">
        <v>5565</v>
      </c>
      <c r="G1714" s="23" t="s">
        <v>163</v>
      </c>
      <c r="H1714" s="23" t="s">
        <v>236</v>
      </c>
      <c r="I1714" s="22">
        <v>2025</v>
      </c>
      <c r="J1714" s="23" t="s">
        <v>5566</v>
      </c>
      <c r="K1714" s="22">
        <v>9785961499728</v>
      </c>
      <c r="L1714" s="23" t="s">
        <v>5567</v>
      </c>
      <c r="M1714" s="22">
        <v>112</v>
      </c>
      <c r="N1714" s="24">
        <v>0.2</v>
      </c>
      <c r="O1714" s="22">
        <v>150</v>
      </c>
      <c r="P1714" s="22">
        <v>220</v>
      </c>
      <c r="Q1714" s="22">
        <v>24</v>
      </c>
      <c r="R1714" s="23" t="s">
        <v>43</v>
      </c>
      <c r="S1714" s="23"/>
      <c r="T1714" s="25">
        <v>2000</v>
      </c>
      <c r="U1714" s="23" t="s">
        <v>52</v>
      </c>
      <c r="V1714" s="23" t="s">
        <v>269</v>
      </c>
      <c r="W1714" s="22">
        <v>10</v>
      </c>
      <c r="X1714" s="35" t="str">
        <f>HYPERLINK("https://www.alpinabook.ru/catalog/book-sinor-kolbaska","ссылка на книгу")</f>
        <v>ссылка на книгу</v>
      </c>
      <c r="Y1714" s="36" t="str">
        <f>HYPERLINK("https://api-enni.alpina.ru/FileCertificateProject/491","https://api-enni.alpina.ru/FileCertificateProject/491")</f>
        <v>https://api-enni.alpina.ru/FileCertificateProject/491</v>
      </c>
      <c r="Z1714" s="23"/>
      <c r="AT1714" s="1">
        <f t="shared" si="318"/>
        <v>0</v>
      </c>
      <c r="AU1714" s="1">
        <f t="shared" si="319"/>
        <v>0</v>
      </c>
      <c r="AV1714" s="1">
        <f t="shared" si="320"/>
        <v>0</v>
      </c>
      <c r="AW1714" s="1">
        <f t="shared" si="321"/>
        <v>0</v>
      </c>
      <c r="AX1714" s="1">
        <f t="shared" si="322"/>
        <v>0</v>
      </c>
    </row>
    <row r="1715" spans="1:50" s="1" customFormat="1" ht="21.95" customHeight="1" outlineLevel="3" x14ac:dyDescent="0.2">
      <c r="A1715" s="21"/>
      <c r="B1715" s="22">
        <v>950</v>
      </c>
      <c r="C1715" s="25">
        <v>1390</v>
      </c>
      <c r="D1715" s="22">
        <v>31599</v>
      </c>
      <c r="E1715" s="23" t="s">
        <v>2899</v>
      </c>
      <c r="F1715" s="23" t="s">
        <v>5568</v>
      </c>
      <c r="G1715" s="23" t="s">
        <v>163</v>
      </c>
      <c r="H1715" s="23"/>
      <c r="I1715" s="22">
        <v>2025</v>
      </c>
      <c r="J1715" s="23" t="s">
        <v>5569</v>
      </c>
      <c r="K1715" s="22">
        <v>9785961499490</v>
      </c>
      <c r="L1715" s="23" t="s">
        <v>5570</v>
      </c>
      <c r="M1715" s="22">
        <v>104</v>
      </c>
      <c r="N1715" s="24">
        <v>0.56999999999999995</v>
      </c>
      <c r="O1715" s="22">
        <v>210</v>
      </c>
      <c r="P1715" s="22">
        <v>290</v>
      </c>
      <c r="Q1715" s="22">
        <v>10</v>
      </c>
      <c r="R1715" s="23" t="s">
        <v>167</v>
      </c>
      <c r="S1715" s="23"/>
      <c r="T1715" s="25">
        <v>3000</v>
      </c>
      <c r="U1715" s="23" t="s">
        <v>52</v>
      </c>
      <c r="V1715" s="23" t="s">
        <v>64</v>
      </c>
      <c r="W1715" s="22">
        <v>10</v>
      </c>
      <c r="X1715" s="35" t="str">
        <f>HYPERLINK("https://www.alpinabook.ru/catalog/book-skazki-10-klassicheskikh-istoriy","ссылка на книгу")</f>
        <v>ссылка на книгу</v>
      </c>
      <c r="Y1715" s="36" t="str">
        <f>HYPERLINK("","")</f>
        <v/>
      </c>
      <c r="Z1715" s="23"/>
      <c r="AT1715" s="1">
        <f t="shared" si="318"/>
        <v>0</v>
      </c>
      <c r="AU1715" s="1">
        <f t="shared" si="319"/>
        <v>0</v>
      </c>
      <c r="AV1715" s="1">
        <f t="shared" si="320"/>
        <v>0</v>
      </c>
      <c r="AW1715" s="1">
        <f t="shared" si="321"/>
        <v>0</v>
      </c>
      <c r="AX1715" s="1">
        <f t="shared" si="322"/>
        <v>0</v>
      </c>
    </row>
    <row r="1716" spans="1:50" s="1" customFormat="1" ht="24.95" customHeight="1" outlineLevel="3" x14ac:dyDescent="0.2">
      <c r="A1716" s="21"/>
      <c r="B1716" s="22">
        <v>490</v>
      </c>
      <c r="C1716" s="22">
        <v>490</v>
      </c>
      <c r="D1716" s="22">
        <v>26715</v>
      </c>
      <c r="E1716" s="23" t="s">
        <v>5571</v>
      </c>
      <c r="F1716" s="23" t="s">
        <v>5572</v>
      </c>
      <c r="G1716" s="23" t="s">
        <v>163</v>
      </c>
      <c r="H1716" s="23" t="s">
        <v>947</v>
      </c>
      <c r="I1716" s="22">
        <v>2022</v>
      </c>
      <c r="J1716" s="23" t="s">
        <v>5573</v>
      </c>
      <c r="K1716" s="22">
        <v>9785961482737</v>
      </c>
      <c r="L1716" s="23" t="s">
        <v>5574</v>
      </c>
      <c r="M1716" s="22">
        <v>32</v>
      </c>
      <c r="N1716" s="24">
        <v>0.25</v>
      </c>
      <c r="O1716" s="22">
        <v>200</v>
      </c>
      <c r="P1716" s="22">
        <v>270</v>
      </c>
      <c r="Q1716" s="22">
        <v>15</v>
      </c>
      <c r="R1716" s="23" t="s">
        <v>300</v>
      </c>
      <c r="S1716" s="23"/>
      <c r="T1716" s="25">
        <v>2000</v>
      </c>
      <c r="U1716" s="23" t="s">
        <v>52</v>
      </c>
      <c r="V1716" s="23" t="s">
        <v>269</v>
      </c>
      <c r="W1716" s="22">
        <v>10</v>
      </c>
      <c r="X1716" s="35" t="str">
        <f>HYPERLINK("https://www.alpinabook.ru/catalog/book-stoykiy-olovyannyy-soldatik","ссылка на книгу")</f>
        <v>ссылка на книгу</v>
      </c>
      <c r="Y1716" s="36" t="str">
        <f>HYPERLINK("https://api-enni.alpina.ru/FileCertificateProject/306","https://api-enni.alpina.ru/FileCertificateProject/306")</f>
        <v>https://api-enni.alpina.ru/FileCertificateProject/306</v>
      </c>
      <c r="Z1716" s="23"/>
      <c r="AT1716" s="1">
        <f t="shared" si="318"/>
        <v>0</v>
      </c>
      <c r="AU1716" s="1">
        <f t="shared" si="319"/>
        <v>0</v>
      </c>
      <c r="AV1716" s="1">
        <f t="shared" si="320"/>
        <v>0</v>
      </c>
      <c r="AW1716" s="1">
        <f t="shared" si="321"/>
        <v>0</v>
      </c>
      <c r="AX1716" s="1">
        <f t="shared" si="322"/>
        <v>0</v>
      </c>
    </row>
    <row r="1717" spans="1:50" s="1" customFormat="1" ht="24.95" customHeight="1" outlineLevel="3" x14ac:dyDescent="0.2">
      <c r="A1717" s="21"/>
      <c r="B1717" s="22">
        <v>690</v>
      </c>
      <c r="C1717" s="22">
        <v>990</v>
      </c>
      <c r="D1717" s="22">
        <v>27244</v>
      </c>
      <c r="E1717" s="23" t="s">
        <v>5575</v>
      </c>
      <c r="F1717" s="23" t="s">
        <v>5576</v>
      </c>
      <c r="G1717" s="23" t="s">
        <v>163</v>
      </c>
      <c r="H1717" s="23"/>
      <c r="I1717" s="22">
        <v>2025</v>
      </c>
      <c r="J1717" s="23" t="s">
        <v>5577</v>
      </c>
      <c r="K1717" s="22">
        <v>9785961484311</v>
      </c>
      <c r="L1717" s="23" t="s">
        <v>5578</v>
      </c>
      <c r="M1717" s="22">
        <v>80</v>
      </c>
      <c r="N1717" s="24">
        <v>0.41</v>
      </c>
      <c r="O1717" s="22">
        <v>190</v>
      </c>
      <c r="P1717" s="22">
        <v>240</v>
      </c>
      <c r="Q1717" s="22">
        <v>12</v>
      </c>
      <c r="R1717" s="23" t="s">
        <v>94</v>
      </c>
      <c r="S1717" s="23"/>
      <c r="T1717" s="25">
        <v>3000</v>
      </c>
      <c r="U1717" s="23" t="s">
        <v>52</v>
      </c>
      <c r="V1717" s="23" t="s">
        <v>59</v>
      </c>
      <c r="W1717" s="22">
        <v>10</v>
      </c>
      <c r="X1717" s="35" t="str">
        <f>HYPERLINK("https://www.alpinabook.ru/catalog/book-tsoy-istoriya-rok-zvezdy","ссылка на книгу")</f>
        <v>ссылка на книгу</v>
      </c>
      <c r="Y1717" s="36" t="str">
        <f>HYPERLINK("https://api-enni.alpina.ru/FileCertificateProject/586","https://api-enni.alpina.ru/FileCertificateProject/586")</f>
        <v>https://api-enni.alpina.ru/FileCertificateProject/586</v>
      </c>
      <c r="Z1717" s="23" t="s">
        <v>70</v>
      </c>
      <c r="AT1717" s="1">
        <f t="shared" si="318"/>
        <v>0</v>
      </c>
      <c r="AU1717" s="1">
        <f t="shared" si="319"/>
        <v>0</v>
      </c>
      <c r="AV1717" s="1">
        <f t="shared" si="320"/>
        <v>0</v>
      </c>
      <c r="AW1717" s="1">
        <f t="shared" si="321"/>
        <v>0</v>
      </c>
      <c r="AX1717" s="1">
        <f t="shared" si="322"/>
        <v>0</v>
      </c>
    </row>
    <row r="1718" spans="1:50" s="1" customFormat="1" ht="24.95" customHeight="1" outlineLevel="3" x14ac:dyDescent="0.2">
      <c r="A1718" s="21"/>
      <c r="B1718" s="22">
        <v>490</v>
      </c>
      <c r="C1718" s="22">
        <v>740</v>
      </c>
      <c r="D1718" s="22">
        <v>11963</v>
      </c>
      <c r="E1718" s="23" t="s">
        <v>5579</v>
      </c>
      <c r="F1718" s="23" t="s">
        <v>5580</v>
      </c>
      <c r="G1718" s="23" t="s">
        <v>163</v>
      </c>
      <c r="H1718" s="23"/>
      <c r="I1718" s="22">
        <v>2025</v>
      </c>
      <c r="J1718" s="23" t="s">
        <v>5581</v>
      </c>
      <c r="K1718" s="22">
        <v>9785961424423</v>
      </c>
      <c r="L1718" s="23" t="s">
        <v>5582</v>
      </c>
      <c r="M1718" s="22">
        <v>32</v>
      </c>
      <c r="N1718" s="24">
        <v>0.22</v>
      </c>
      <c r="O1718" s="22">
        <v>169</v>
      </c>
      <c r="P1718" s="22">
        <v>217</v>
      </c>
      <c r="Q1718" s="22">
        <v>20</v>
      </c>
      <c r="R1718" s="23" t="s">
        <v>100</v>
      </c>
      <c r="S1718" s="23" t="s">
        <v>810</v>
      </c>
      <c r="T1718" s="25">
        <v>2000</v>
      </c>
      <c r="U1718" s="23" t="s">
        <v>52</v>
      </c>
      <c r="V1718" s="23" t="s">
        <v>269</v>
      </c>
      <c r="W1718" s="22">
        <v>10</v>
      </c>
      <c r="X1718" s="35" t="str">
        <f>HYPERLINK("https://www.alpinabook.ru/catalog/book-chemu-ya-mogu-nauchitsya-u-ilona-maska","ссылка на книгу")</f>
        <v>ссылка на книгу</v>
      </c>
      <c r="Y1718" s="36" t="str">
        <f>HYPERLINK("https://api-enni.alpina.ru/FileCertificateProject/723","https://api-enni.alpina.ru/FileCertificateProject/723")</f>
        <v>https://api-enni.alpina.ru/FileCertificateProject/723</v>
      </c>
      <c r="Z1718" s="23" t="s">
        <v>70</v>
      </c>
      <c r="AT1718" s="1">
        <f t="shared" si="318"/>
        <v>0</v>
      </c>
      <c r="AU1718" s="1">
        <f t="shared" si="319"/>
        <v>0</v>
      </c>
      <c r="AV1718" s="1">
        <f t="shared" si="320"/>
        <v>0</v>
      </c>
      <c r="AW1718" s="1">
        <f t="shared" si="321"/>
        <v>0</v>
      </c>
      <c r="AX1718" s="1">
        <f t="shared" si="322"/>
        <v>0</v>
      </c>
    </row>
    <row r="1719" spans="1:50" s="1" customFormat="1" ht="24.95" customHeight="1" outlineLevel="3" x14ac:dyDescent="0.2">
      <c r="A1719" s="21"/>
      <c r="B1719" s="22">
        <v>890</v>
      </c>
      <c r="C1719" s="25">
        <v>1290</v>
      </c>
      <c r="D1719" s="22">
        <v>31400</v>
      </c>
      <c r="E1719" s="23" t="s">
        <v>5583</v>
      </c>
      <c r="F1719" s="23" t="s">
        <v>5584</v>
      </c>
      <c r="G1719" s="23" t="s">
        <v>163</v>
      </c>
      <c r="H1719" s="23" t="s">
        <v>200</v>
      </c>
      <c r="I1719" s="22">
        <v>2025</v>
      </c>
      <c r="J1719" s="23" t="s">
        <v>5585</v>
      </c>
      <c r="K1719" s="22">
        <v>9785961498585</v>
      </c>
      <c r="L1719" s="23" t="s">
        <v>5586</v>
      </c>
      <c r="M1719" s="22">
        <v>64</v>
      </c>
      <c r="N1719" s="24">
        <v>0.63</v>
      </c>
      <c r="O1719" s="22">
        <v>250</v>
      </c>
      <c r="P1719" s="22">
        <v>330</v>
      </c>
      <c r="Q1719" s="22">
        <v>8</v>
      </c>
      <c r="R1719" s="23" t="s">
        <v>167</v>
      </c>
      <c r="S1719" s="23"/>
      <c r="T1719" s="25">
        <v>1500</v>
      </c>
      <c r="U1719" s="23" t="s">
        <v>52</v>
      </c>
      <c r="V1719" s="23" t="s">
        <v>59</v>
      </c>
      <c r="W1719" s="22">
        <v>10</v>
      </c>
      <c r="X1719" s="35" t="str">
        <f>HYPERLINK("https://www.alpinabook.ru/catalog/book-chudesnaya-kniga-smerti","ссылка на книгу")</f>
        <v>ссылка на книгу</v>
      </c>
      <c r="Y1719" s="36" t="str">
        <f>HYPERLINK("","")</f>
        <v/>
      </c>
      <c r="Z1719" s="23"/>
      <c r="AT1719" s="1">
        <f t="shared" si="318"/>
        <v>0</v>
      </c>
      <c r="AU1719" s="1">
        <f t="shared" si="319"/>
        <v>0</v>
      </c>
      <c r="AV1719" s="1">
        <f t="shared" si="320"/>
        <v>0</v>
      </c>
      <c r="AW1719" s="1">
        <f t="shared" si="321"/>
        <v>0</v>
      </c>
      <c r="AX1719" s="1">
        <f t="shared" si="322"/>
        <v>0</v>
      </c>
    </row>
    <row r="1720" spans="1:50" s="1" customFormat="1" ht="24.95" customHeight="1" outlineLevel="3" x14ac:dyDescent="0.2">
      <c r="A1720" s="21"/>
      <c r="B1720" s="22">
        <v>640</v>
      </c>
      <c r="C1720" s="22">
        <v>940</v>
      </c>
      <c r="D1720" s="22">
        <v>29888</v>
      </c>
      <c r="E1720" s="23" t="s">
        <v>5587</v>
      </c>
      <c r="F1720" s="23" t="s">
        <v>5588</v>
      </c>
      <c r="G1720" s="23" t="s">
        <v>163</v>
      </c>
      <c r="H1720" s="23"/>
      <c r="I1720" s="22">
        <v>2024</v>
      </c>
      <c r="J1720" s="23" t="s">
        <v>5589</v>
      </c>
      <c r="K1720" s="22">
        <v>9785961494303</v>
      </c>
      <c r="L1720" s="23" t="s">
        <v>5590</v>
      </c>
      <c r="M1720" s="22">
        <v>96</v>
      </c>
      <c r="N1720" s="24">
        <v>0.37</v>
      </c>
      <c r="O1720" s="22">
        <v>170</v>
      </c>
      <c r="P1720" s="22">
        <v>240</v>
      </c>
      <c r="Q1720" s="22">
        <v>12</v>
      </c>
      <c r="R1720" s="23" t="s">
        <v>94</v>
      </c>
      <c r="S1720" s="23"/>
      <c r="T1720" s="25">
        <v>5000</v>
      </c>
      <c r="U1720" s="23" t="s">
        <v>52</v>
      </c>
      <c r="V1720" s="23" t="s">
        <v>269</v>
      </c>
      <c r="W1720" s="22">
        <v>10</v>
      </c>
      <c r="X1720" s="35" t="str">
        <f>HYPERLINK("https://www.alpinabook.ru/catalog/book-chudesnye-prevrashcheniya-mari-petrovny-utkinoy","ссылка на книгу")</f>
        <v>ссылка на книгу</v>
      </c>
      <c r="Y1720" s="36" t="str">
        <f>HYPERLINK("https://api-enni.alpina.ru/FileCertificateProject/687","https://api-enni.alpina.ru/FileCertificateProject/687")</f>
        <v>https://api-enni.alpina.ru/FileCertificateProject/687</v>
      </c>
      <c r="Z1720" s="23" t="s">
        <v>847</v>
      </c>
      <c r="AT1720" s="1">
        <f t="shared" si="318"/>
        <v>0</v>
      </c>
      <c r="AU1720" s="1">
        <f t="shared" si="319"/>
        <v>0</v>
      </c>
      <c r="AV1720" s="1">
        <f t="shared" si="320"/>
        <v>0</v>
      </c>
      <c r="AW1720" s="1">
        <f t="shared" si="321"/>
        <v>0</v>
      </c>
      <c r="AX1720" s="1">
        <f t="shared" si="322"/>
        <v>0</v>
      </c>
    </row>
    <row r="1721" spans="1:50" ht="11.1" customHeight="1" outlineLevel="2" x14ac:dyDescent="0.2">
      <c r="A1721" s="40" t="s">
        <v>5591</v>
      </c>
      <c r="B1721" s="40"/>
      <c r="C1721" s="40"/>
      <c r="D1721" s="40"/>
      <c r="E1721" s="40"/>
      <c r="F1721" s="40"/>
      <c r="G1721" s="40"/>
      <c r="H1721" s="40"/>
      <c r="I1721" s="40"/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20"/>
    </row>
    <row r="1722" spans="1:50" s="1" customFormat="1" ht="24.95" customHeight="1" outlineLevel="3" x14ac:dyDescent="0.2">
      <c r="A1722" s="11"/>
      <c r="B1722" s="12">
        <v>550</v>
      </c>
      <c r="C1722" s="12">
        <v>790</v>
      </c>
      <c r="D1722" s="12">
        <v>29248</v>
      </c>
      <c r="E1722" s="13" t="s">
        <v>5592</v>
      </c>
      <c r="F1722" s="13" t="s">
        <v>5593</v>
      </c>
      <c r="G1722" s="13" t="s">
        <v>163</v>
      </c>
      <c r="H1722" s="13"/>
      <c r="I1722" s="12">
        <v>2023</v>
      </c>
      <c r="J1722" s="13" t="s">
        <v>5594</v>
      </c>
      <c r="K1722" s="12">
        <v>9785961491883</v>
      </c>
      <c r="L1722" s="13" t="s">
        <v>5595</v>
      </c>
      <c r="M1722" s="12">
        <v>176</v>
      </c>
      <c r="N1722" s="14">
        <v>0.34</v>
      </c>
      <c r="O1722" s="12">
        <v>170</v>
      </c>
      <c r="P1722" s="12">
        <v>220</v>
      </c>
      <c r="Q1722" s="12">
        <v>12</v>
      </c>
      <c r="R1722" s="13" t="s">
        <v>100</v>
      </c>
      <c r="S1722" s="13" t="s">
        <v>5596</v>
      </c>
      <c r="T1722" s="15">
        <v>2000</v>
      </c>
      <c r="U1722" s="13" t="s">
        <v>44</v>
      </c>
      <c r="V1722" s="13" t="s">
        <v>59</v>
      </c>
      <c r="W1722" s="12">
        <v>10</v>
      </c>
      <c r="X1722" s="33" t="str">
        <f>HYPERLINK("https://www.alpinabook.ru/catalog/book-komandnaya-rabota","ссылка на книгу")</f>
        <v>ссылка на книгу</v>
      </c>
      <c r="Y1722" s="34" t="str">
        <f>HYPERLINK("https://api-enni.alpina.ru/FileCertificateProject/480","https://api-enni.alpina.ru/FileCertificateProject/480")</f>
        <v>https://api-enni.alpina.ru/FileCertificateProject/480</v>
      </c>
      <c r="Z1722" s="13"/>
      <c r="AT1722" s="1">
        <f t="shared" ref="AT1722:AT1727" si="323">IF($A1722&lt;&gt;0,1,0)</f>
        <v>0</v>
      </c>
      <c r="AU1722" s="1">
        <f t="shared" ref="AU1722:AU1727" si="324">$A1722*$B1722</f>
        <v>0</v>
      </c>
      <c r="AV1722" s="1">
        <f t="shared" ref="AV1722:AV1727" si="325">$A1722*$N1722</f>
        <v>0</v>
      </c>
      <c r="AW1722" s="1">
        <f t="shared" ref="AW1722:AW1727" si="326">IF($Q1722=0,0,INT($A1722/$Q1722))</f>
        <v>0</v>
      </c>
      <c r="AX1722" s="1">
        <f t="shared" ref="AX1722:AX1727" si="327">$A1722-$AW1722*$Q1722</f>
        <v>0</v>
      </c>
    </row>
    <row r="1723" spans="1:50" s="1" customFormat="1" ht="24.95" customHeight="1" outlineLevel="3" x14ac:dyDescent="0.2">
      <c r="A1723" s="11"/>
      <c r="B1723" s="12">
        <v>550</v>
      </c>
      <c r="C1723" s="12">
        <v>790</v>
      </c>
      <c r="D1723" s="12">
        <v>30427</v>
      </c>
      <c r="E1723" s="13" t="s">
        <v>5592</v>
      </c>
      <c r="F1723" s="13" t="s">
        <v>5593</v>
      </c>
      <c r="G1723" s="13" t="s">
        <v>163</v>
      </c>
      <c r="H1723" s="13"/>
      <c r="I1723" s="12">
        <v>2024</v>
      </c>
      <c r="J1723" s="13" t="s">
        <v>5597</v>
      </c>
      <c r="K1723" s="12">
        <v>9785961495461</v>
      </c>
      <c r="L1723" s="13" t="s">
        <v>5598</v>
      </c>
      <c r="M1723" s="12">
        <v>176</v>
      </c>
      <c r="N1723" s="14">
        <v>0.33</v>
      </c>
      <c r="O1723" s="12">
        <v>160</v>
      </c>
      <c r="P1723" s="12">
        <v>220</v>
      </c>
      <c r="Q1723" s="12">
        <v>12</v>
      </c>
      <c r="R1723" s="13" t="s">
        <v>100</v>
      </c>
      <c r="S1723" s="13" t="s">
        <v>5596</v>
      </c>
      <c r="T1723" s="15">
        <v>2000</v>
      </c>
      <c r="U1723" s="13" t="s">
        <v>44</v>
      </c>
      <c r="V1723" s="13" t="s">
        <v>59</v>
      </c>
      <c r="W1723" s="12">
        <v>10</v>
      </c>
      <c r="X1723" s="33" t="str">
        <f>HYPERLINK("https://www.alpinabook.ru/catalog/book-komandnaya-rabota","ссылка на книгу")</f>
        <v>ссылка на книгу</v>
      </c>
      <c r="Y1723" s="34" t="str">
        <f>HYPERLINK("https://api-enni.alpina.ru/FileCertificateProject/480","https://api-enni.alpina.ru/FileCertificateProject/480")</f>
        <v>https://api-enni.alpina.ru/FileCertificateProject/480</v>
      </c>
      <c r="Z1723" s="13"/>
      <c r="AT1723" s="1">
        <f t="shared" si="323"/>
        <v>0</v>
      </c>
      <c r="AU1723" s="1">
        <f t="shared" si="324"/>
        <v>0</v>
      </c>
      <c r="AV1723" s="1">
        <f t="shared" si="325"/>
        <v>0</v>
      </c>
      <c r="AW1723" s="1">
        <f t="shared" si="326"/>
        <v>0</v>
      </c>
      <c r="AX1723" s="1">
        <f t="shared" si="327"/>
        <v>0</v>
      </c>
    </row>
    <row r="1724" spans="1:50" s="1" customFormat="1" ht="24.95" customHeight="1" outlineLevel="3" x14ac:dyDescent="0.2">
      <c r="A1724" s="11"/>
      <c r="B1724" s="12">
        <v>550</v>
      </c>
      <c r="C1724" s="12">
        <v>790</v>
      </c>
      <c r="D1724" s="12">
        <v>26329</v>
      </c>
      <c r="E1724" s="13" t="s">
        <v>5599</v>
      </c>
      <c r="F1724" s="13" t="s">
        <v>5600</v>
      </c>
      <c r="G1724" s="13" t="s">
        <v>163</v>
      </c>
      <c r="H1724" s="13"/>
      <c r="I1724" s="12">
        <v>2024</v>
      </c>
      <c r="J1724" s="13" t="s">
        <v>5601</v>
      </c>
      <c r="K1724" s="12">
        <v>9785961481259</v>
      </c>
      <c r="L1724" s="13" t="s">
        <v>5602</v>
      </c>
      <c r="M1724" s="12">
        <v>152</v>
      </c>
      <c r="N1724" s="14">
        <v>0.28000000000000003</v>
      </c>
      <c r="O1724" s="12">
        <v>170</v>
      </c>
      <c r="P1724" s="12">
        <v>220</v>
      </c>
      <c r="Q1724" s="12">
        <v>14</v>
      </c>
      <c r="R1724" s="13" t="s">
        <v>100</v>
      </c>
      <c r="S1724" s="13" t="s">
        <v>5596</v>
      </c>
      <c r="T1724" s="15">
        <v>2000</v>
      </c>
      <c r="U1724" s="13" t="s">
        <v>44</v>
      </c>
      <c r="V1724" s="13" t="s">
        <v>59</v>
      </c>
      <c r="W1724" s="12">
        <v>10</v>
      </c>
      <c r="X1724" s="33" t="str">
        <f>HYPERLINK("https://www.alpinabook.ru/catalog/book-kommunikatsiya","ссылка на книгу")</f>
        <v>ссылка на книгу</v>
      </c>
      <c r="Y1724" s="34" t="str">
        <f>HYPERLINK("https://api-enni.alpina.ru/FileCertificateProject/478","https://api-enni.alpina.ru/FileCertificateProject/478")</f>
        <v>https://api-enni.alpina.ru/FileCertificateProject/478</v>
      </c>
      <c r="Z1724" s="13"/>
      <c r="AT1724" s="1">
        <f t="shared" si="323"/>
        <v>0</v>
      </c>
      <c r="AU1724" s="1">
        <f t="shared" si="324"/>
        <v>0</v>
      </c>
      <c r="AV1724" s="1">
        <f t="shared" si="325"/>
        <v>0</v>
      </c>
      <c r="AW1724" s="1">
        <f t="shared" si="326"/>
        <v>0</v>
      </c>
      <c r="AX1724" s="1">
        <f t="shared" si="327"/>
        <v>0</v>
      </c>
    </row>
    <row r="1725" spans="1:50" s="1" customFormat="1" ht="24.95" customHeight="1" outlineLevel="3" x14ac:dyDescent="0.2">
      <c r="A1725" s="11"/>
      <c r="B1725" s="12">
        <v>550</v>
      </c>
      <c r="C1725" s="12">
        <v>790</v>
      </c>
      <c r="D1725" s="12">
        <v>27741</v>
      </c>
      <c r="E1725" s="13" t="s">
        <v>5603</v>
      </c>
      <c r="F1725" s="13" t="s">
        <v>5604</v>
      </c>
      <c r="G1725" s="13" t="s">
        <v>163</v>
      </c>
      <c r="H1725" s="13"/>
      <c r="I1725" s="12">
        <v>2024</v>
      </c>
      <c r="J1725" s="13" t="s">
        <v>5605</v>
      </c>
      <c r="K1725" s="12">
        <v>9785961486209</v>
      </c>
      <c r="L1725" s="13" t="s">
        <v>5606</v>
      </c>
      <c r="M1725" s="12">
        <v>216</v>
      </c>
      <c r="N1725" s="14">
        <v>0.41</v>
      </c>
      <c r="O1725" s="12">
        <v>170</v>
      </c>
      <c r="P1725" s="12">
        <v>220</v>
      </c>
      <c r="Q1725" s="12">
        <v>10</v>
      </c>
      <c r="R1725" s="13" t="s">
        <v>100</v>
      </c>
      <c r="S1725" s="13" t="s">
        <v>5596</v>
      </c>
      <c r="T1725" s="15">
        <v>2500</v>
      </c>
      <c r="U1725" s="13" t="s">
        <v>44</v>
      </c>
      <c r="V1725" s="13" t="s">
        <v>59</v>
      </c>
      <c r="W1725" s="12">
        <v>10</v>
      </c>
      <c r="X1725" s="33" t="str">
        <f>HYPERLINK("https://www.alpinabook.ru/catalog/book-kreativnost-4k","ссылка на книгу")</f>
        <v>ссылка на книгу</v>
      </c>
      <c r="Y1725" s="34" t="str">
        <f>HYPERLINK("https://api-enni.alpina.ru/FileCertificateProject/477","https://api-enni.alpina.ru/FileCertificateProject/477")</f>
        <v>https://api-enni.alpina.ru/FileCertificateProject/477</v>
      </c>
      <c r="Z1725" s="13"/>
      <c r="AT1725" s="1">
        <f t="shared" si="323"/>
        <v>0</v>
      </c>
      <c r="AU1725" s="1">
        <f t="shared" si="324"/>
        <v>0</v>
      </c>
      <c r="AV1725" s="1">
        <f t="shared" si="325"/>
        <v>0</v>
      </c>
      <c r="AW1725" s="1">
        <f t="shared" si="326"/>
        <v>0</v>
      </c>
      <c r="AX1725" s="1">
        <f t="shared" si="327"/>
        <v>0</v>
      </c>
    </row>
    <row r="1726" spans="1:50" s="1" customFormat="1" ht="24.95" customHeight="1" outlineLevel="3" x14ac:dyDescent="0.2">
      <c r="A1726" s="11"/>
      <c r="B1726" s="12">
        <v>550</v>
      </c>
      <c r="C1726" s="12">
        <v>790</v>
      </c>
      <c r="D1726" s="12">
        <v>29244</v>
      </c>
      <c r="E1726" s="13" t="s">
        <v>5603</v>
      </c>
      <c r="F1726" s="13" t="s">
        <v>5604</v>
      </c>
      <c r="G1726" s="13" t="s">
        <v>163</v>
      </c>
      <c r="H1726" s="13"/>
      <c r="I1726" s="12">
        <v>2023</v>
      </c>
      <c r="J1726" s="13" t="s">
        <v>5607</v>
      </c>
      <c r="K1726" s="12">
        <v>9785961491845</v>
      </c>
      <c r="L1726" s="13" t="s">
        <v>5608</v>
      </c>
      <c r="M1726" s="12">
        <v>216</v>
      </c>
      <c r="N1726" s="14">
        <v>0.41</v>
      </c>
      <c r="O1726" s="12">
        <v>170</v>
      </c>
      <c r="P1726" s="12">
        <v>220</v>
      </c>
      <c r="Q1726" s="12">
        <v>10</v>
      </c>
      <c r="R1726" s="13" t="s">
        <v>100</v>
      </c>
      <c r="S1726" s="13" t="s">
        <v>5596</v>
      </c>
      <c r="T1726" s="15">
        <v>2000</v>
      </c>
      <c r="U1726" s="13" t="s">
        <v>44</v>
      </c>
      <c r="V1726" s="13" t="s">
        <v>59</v>
      </c>
      <c r="W1726" s="12">
        <v>10</v>
      </c>
      <c r="X1726" s="33" t="str">
        <f>HYPERLINK("https://www.alpinabook.ru/catalog/book-kreativnost-4k","ссылка на книгу")</f>
        <v>ссылка на книгу</v>
      </c>
      <c r="Y1726" s="34" t="str">
        <f>HYPERLINK("https://api-enni.alpina.ru/FileCertificateProject/477","https://api-enni.alpina.ru/FileCertificateProject/477")</f>
        <v>https://api-enni.alpina.ru/FileCertificateProject/477</v>
      </c>
      <c r="Z1726" s="13"/>
      <c r="AT1726" s="1">
        <f t="shared" si="323"/>
        <v>0</v>
      </c>
      <c r="AU1726" s="1">
        <f t="shared" si="324"/>
        <v>0</v>
      </c>
      <c r="AV1726" s="1">
        <f t="shared" si="325"/>
        <v>0</v>
      </c>
      <c r="AW1726" s="1">
        <f t="shared" si="326"/>
        <v>0</v>
      </c>
      <c r="AX1726" s="1">
        <f t="shared" si="327"/>
        <v>0</v>
      </c>
    </row>
    <row r="1727" spans="1:50" s="1" customFormat="1" ht="24.95" customHeight="1" outlineLevel="3" x14ac:dyDescent="0.2">
      <c r="A1727" s="11"/>
      <c r="B1727" s="12">
        <v>550</v>
      </c>
      <c r="C1727" s="12">
        <v>790</v>
      </c>
      <c r="D1727" s="12">
        <v>26508</v>
      </c>
      <c r="E1727" s="13" t="s">
        <v>5609</v>
      </c>
      <c r="F1727" s="13" t="s">
        <v>5610</v>
      </c>
      <c r="G1727" s="13" t="s">
        <v>163</v>
      </c>
      <c r="H1727" s="13"/>
      <c r="I1727" s="12">
        <v>2024</v>
      </c>
      <c r="J1727" s="13" t="s">
        <v>5611</v>
      </c>
      <c r="K1727" s="12">
        <v>9785961481334</v>
      </c>
      <c r="L1727" s="13" t="s">
        <v>5612</v>
      </c>
      <c r="M1727" s="12">
        <v>192</v>
      </c>
      <c r="N1727" s="14">
        <v>0.35</v>
      </c>
      <c r="O1727" s="12">
        <v>170</v>
      </c>
      <c r="P1727" s="12">
        <v>220</v>
      </c>
      <c r="Q1727" s="12">
        <v>12</v>
      </c>
      <c r="R1727" s="13" t="s">
        <v>100</v>
      </c>
      <c r="S1727" s="13" t="s">
        <v>5596</v>
      </c>
      <c r="T1727" s="15">
        <v>3000</v>
      </c>
      <c r="U1727" s="13" t="s">
        <v>44</v>
      </c>
      <c r="V1727" s="13" t="s">
        <v>59</v>
      </c>
      <c r="W1727" s="12">
        <v>10</v>
      </c>
      <c r="X1727" s="33" t="str">
        <f>HYPERLINK("https://www.alpinabook.ru/catalog/book-kriticheskoe-myshlenie-jeleznaya-logika","ссылка на книгу")</f>
        <v>ссылка на книгу</v>
      </c>
      <c r="Y1727" s="34" t="str">
        <f>HYPERLINK("https://api-enni.alpina.ru/FileCertificateProject/479","https://api-enni.alpina.ru/FileCertificateProject/479")</f>
        <v>https://api-enni.alpina.ru/FileCertificateProject/479</v>
      </c>
      <c r="Z1727" s="13"/>
      <c r="AT1727" s="1">
        <f t="shared" si="323"/>
        <v>0</v>
      </c>
      <c r="AU1727" s="1">
        <f t="shared" si="324"/>
        <v>0</v>
      </c>
      <c r="AV1727" s="1">
        <f t="shared" si="325"/>
        <v>0</v>
      </c>
      <c r="AW1727" s="1">
        <f t="shared" si="326"/>
        <v>0</v>
      </c>
      <c r="AX1727" s="1">
        <f t="shared" si="327"/>
        <v>0</v>
      </c>
    </row>
    <row r="1728" spans="1:50" ht="11.1" customHeight="1" outlineLevel="2" x14ac:dyDescent="0.2">
      <c r="A1728" s="40" t="s">
        <v>5613</v>
      </c>
      <c r="B1728" s="40"/>
      <c r="C1728" s="40"/>
      <c r="D1728" s="40"/>
      <c r="E1728" s="40"/>
      <c r="F1728" s="40"/>
      <c r="G1728" s="40"/>
      <c r="H1728" s="40"/>
      <c r="I1728" s="40"/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20"/>
    </row>
    <row r="1729" spans="1:50" s="1" customFormat="1" ht="21.95" customHeight="1" outlineLevel="3" x14ac:dyDescent="0.2">
      <c r="A1729" s="11"/>
      <c r="B1729" s="12">
        <v>590</v>
      </c>
      <c r="C1729" s="12">
        <v>590</v>
      </c>
      <c r="D1729" s="12">
        <v>29704</v>
      </c>
      <c r="E1729" s="13" t="s">
        <v>5587</v>
      </c>
      <c r="F1729" s="13" t="s">
        <v>5614</v>
      </c>
      <c r="G1729" s="13" t="s">
        <v>163</v>
      </c>
      <c r="H1729" s="13"/>
      <c r="I1729" s="12">
        <v>2024</v>
      </c>
      <c r="J1729" s="13" t="s">
        <v>5615</v>
      </c>
      <c r="K1729" s="12">
        <v>9785961493511</v>
      </c>
      <c r="L1729" s="13" t="s">
        <v>5616</v>
      </c>
      <c r="M1729" s="12">
        <v>56</v>
      </c>
      <c r="N1729" s="14">
        <v>0.33</v>
      </c>
      <c r="O1729" s="12">
        <v>210</v>
      </c>
      <c r="P1729" s="12">
        <v>260</v>
      </c>
      <c r="Q1729" s="12">
        <v>15</v>
      </c>
      <c r="R1729" s="13" t="s">
        <v>300</v>
      </c>
      <c r="S1729" s="13" t="s">
        <v>5617</v>
      </c>
      <c r="T1729" s="15">
        <v>5000</v>
      </c>
      <c r="U1729" s="13" t="s">
        <v>52</v>
      </c>
      <c r="V1729" s="13" t="s">
        <v>269</v>
      </c>
      <c r="W1729" s="12">
        <v>10</v>
      </c>
      <c r="X1729" s="33" t="str">
        <f>HYPERLINK("https://www.alpinabook.ru/catalog/book-kiselnye-berega","ссылка на книгу")</f>
        <v>ссылка на книгу</v>
      </c>
      <c r="Y1729" s="34" t="str">
        <f>HYPERLINK("","")</f>
        <v/>
      </c>
      <c r="Z1729" s="13"/>
      <c r="AT1729" s="1">
        <f t="shared" ref="AT1729:AT1740" si="328">IF($A1729&lt;&gt;0,1,0)</f>
        <v>0</v>
      </c>
      <c r="AU1729" s="1">
        <f t="shared" ref="AU1729:AU1740" si="329">$A1729*$B1729</f>
        <v>0</v>
      </c>
      <c r="AV1729" s="1">
        <f t="shared" ref="AV1729:AV1740" si="330">$A1729*$N1729</f>
        <v>0</v>
      </c>
      <c r="AW1729" s="1">
        <f t="shared" ref="AW1729:AW1740" si="331">IF($Q1729=0,0,INT($A1729/$Q1729))</f>
        <v>0</v>
      </c>
      <c r="AX1729" s="1">
        <f t="shared" ref="AX1729:AX1740" si="332">$A1729-$AW1729*$Q1729</f>
        <v>0</v>
      </c>
    </row>
    <row r="1730" spans="1:50" s="1" customFormat="1" ht="24.95" customHeight="1" outlineLevel="3" x14ac:dyDescent="0.2">
      <c r="A1730" s="11"/>
      <c r="B1730" s="12">
        <v>490</v>
      </c>
      <c r="C1730" s="12">
        <v>740</v>
      </c>
      <c r="D1730" s="12">
        <v>27170</v>
      </c>
      <c r="E1730" s="13" t="s">
        <v>5618</v>
      </c>
      <c r="F1730" s="13" t="s">
        <v>5619</v>
      </c>
      <c r="G1730" s="13" t="s">
        <v>97</v>
      </c>
      <c r="H1730" s="13"/>
      <c r="I1730" s="12">
        <v>2023</v>
      </c>
      <c r="J1730" s="13" t="s">
        <v>5620</v>
      </c>
      <c r="K1730" s="12">
        <v>9785206001310</v>
      </c>
      <c r="L1730" s="13" t="s">
        <v>5621</v>
      </c>
      <c r="M1730" s="12">
        <v>64</v>
      </c>
      <c r="N1730" s="14">
        <v>0.4</v>
      </c>
      <c r="O1730" s="12">
        <v>210</v>
      </c>
      <c r="P1730" s="12">
        <v>250</v>
      </c>
      <c r="Q1730" s="12">
        <v>10</v>
      </c>
      <c r="R1730" s="13" t="s">
        <v>300</v>
      </c>
      <c r="S1730" s="13"/>
      <c r="T1730" s="15">
        <v>1005</v>
      </c>
      <c r="U1730" s="13" t="s">
        <v>52</v>
      </c>
      <c r="V1730" s="13" t="s">
        <v>269</v>
      </c>
      <c r="W1730" s="12">
        <v>10</v>
      </c>
      <c r="X1730" s="33" t="str">
        <f>HYPERLINK("https://www.alpinabook.ru/catalog/book-kremnievaya-malina","ссылка на книгу")</f>
        <v>ссылка на книгу</v>
      </c>
      <c r="Y1730" s="34" t="str">
        <f>HYPERLINK("https://api-enni.alpina.ru/FilePrivilegesApproval/211","https://api-enni.alpina.ru/FilePrivilegesApproval/211")</f>
        <v>https://api-enni.alpina.ru/FilePrivilegesApproval/211</v>
      </c>
      <c r="Z1730" s="13"/>
      <c r="AT1730" s="1">
        <f t="shared" si="328"/>
        <v>0</v>
      </c>
      <c r="AU1730" s="1">
        <f t="shared" si="329"/>
        <v>0</v>
      </c>
      <c r="AV1730" s="1">
        <f t="shared" si="330"/>
        <v>0</v>
      </c>
      <c r="AW1730" s="1">
        <f t="shared" si="331"/>
        <v>0</v>
      </c>
      <c r="AX1730" s="1">
        <f t="shared" si="332"/>
        <v>0</v>
      </c>
    </row>
    <row r="1731" spans="1:50" s="1" customFormat="1" ht="24.95" customHeight="1" outlineLevel="3" x14ac:dyDescent="0.2">
      <c r="A1731" s="11"/>
      <c r="B1731" s="12">
        <v>440</v>
      </c>
      <c r="C1731" s="12">
        <v>440</v>
      </c>
      <c r="D1731" s="12">
        <v>26358</v>
      </c>
      <c r="E1731" s="13" t="s">
        <v>5622</v>
      </c>
      <c r="F1731" s="13" t="s">
        <v>5623</v>
      </c>
      <c r="G1731" s="13" t="s">
        <v>163</v>
      </c>
      <c r="H1731" s="13"/>
      <c r="I1731" s="12">
        <v>2022</v>
      </c>
      <c r="J1731" s="13" t="s">
        <v>5624</v>
      </c>
      <c r="K1731" s="12">
        <v>9785961482669</v>
      </c>
      <c r="L1731" s="13" t="s">
        <v>5625</v>
      </c>
      <c r="M1731" s="12">
        <v>32</v>
      </c>
      <c r="N1731" s="14">
        <v>0.27</v>
      </c>
      <c r="O1731" s="12">
        <v>205</v>
      </c>
      <c r="P1731" s="12">
        <v>266</v>
      </c>
      <c r="Q1731" s="12">
        <v>15</v>
      </c>
      <c r="R1731" s="13" t="s">
        <v>300</v>
      </c>
      <c r="S1731" s="13"/>
      <c r="T1731" s="15">
        <v>1000</v>
      </c>
      <c r="U1731" s="13" t="s">
        <v>52</v>
      </c>
      <c r="V1731" s="13" t="s">
        <v>5626</v>
      </c>
      <c r="W1731" s="12">
        <v>10</v>
      </c>
      <c r="X1731" s="33" t="str">
        <f>HYPERLINK("https://www.alpinabook.ru/catalog/book-tatkaest","ссылка на книгу")</f>
        <v>ссылка на книгу</v>
      </c>
      <c r="Y1731" s="34" t="str">
        <f>HYPERLINK("https://api-enni.alpina.ru/FileCertificateProject/48","https://api-enni.alpina.ru/FileCertificateProject/48")</f>
        <v>https://api-enni.alpina.ru/FileCertificateProject/48</v>
      </c>
      <c r="Z1731" s="13"/>
      <c r="AT1731" s="1">
        <f t="shared" si="328"/>
        <v>0</v>
      </c>
      <c r="AU1731" s="1">
        <f t="shared" si="329"/>
        <v>0</v>
      </c>
      <c r="AV1731" s="1">
        <f t="shared" si="330"/>
        <v>0</v>
      </c>
      <c r="AW1731" s="1">
        <f t="shared" si="331"/>
        <v>0</v>
      </c>
      <c r="AX1731" s="1">
        <f t="shared" si="332"/>
        <v>0</v>
      </c>
    </row>
    <row r="1732" spans="1:50" s="1" customFormat="1" ht="24.95" customHeight="1" outlineLevel="3" x14ac:dyDescent="0.2">
      <c r="A1732" s="11"/>
      <c r="B1732" s="12">
        <v>590</v>
      </c>
      <c r="C1732" s="12">
        <v>840</v>
      </c>
      <c r="D1732" s="12">
        <v>28684</v>
      </c>
      <c r="E1732" s="13" t="s">
        <v>5587</v>
      </c>
      <c r="F1732" s="13" t="s">
        <v>5627</v>
      </c>
      <c r="G1732" s="13" t="s">
        <v>163</v>
      </c>
      <c r="H1732" s="13"/>
      <c r="I1732" s="12">
        <v>2024</v>
      </c>
      <c r="J1732" s="13" t="s">
        <v>5628</v>
      </c>
      <c r="K1732" s="12">
        <v>9785961489682</v>
      </c>
      <c r="L1732" s="13" t="s">
        <v>5629</v>
      </c>
      <c r="M1732" s="12">
        <v>56</v>
      </c>
      <c r="N1732" s="14">
        <v>0.33</v>
      </c>
      <c r="O1732" s="12">
        <v>210</v>
      </c>
      <c r="P1732" s="12">
        <v>270</v>
      </c>
      <c r="Q1732" s="12">
        <v>15</v>
      </c>
      <c r="R1732" s="13" t="s">
        <v>300</v>
      </c>
      <c r="S1732" s="13" t="s">
        <v>5617</v>
      </c>
      <c r="T1732" s="15">
        <v>3000</v>
      </c>
      <c r="U1732" s="13" t="s">
        <v>52</v>
      </c>
      <c r="V1732" s="13" t="s">
        <v>64</v>
      </c>
      <c r="W1732" s="12">
        <v>10</v>
      </c>
      <c r="X1732" s="33" t="str">
        <f>HYPERLINK("https://www.alpinabook.ru/catalog/book-martyn-i-barsik-dva-kota-krasota","ссылка на книгу")</f>
        <v>ссылка на книгу</v>
      </c>
      <c r="Y1732" s="34" t="str">
        <f>HYPERLINK("https://api-enni.alpina.ru/FileCertificateProject/106","https://api-enni.alpina.ru/FileCertificateProject/106")</f>
        <v>https://api-enni.alpina.ru/FileCertificateProject/106</v>
      </c>
      <c r="Z1732" s="13"/>
      <c r="AT1732" s="1">
        <f t="shared" si="328"/>
        <v>0</v>
      </c>
      <c r="AU1732" s="1">
        <f t="shared" si="329"/>
        <v>0</v>
      </c>
      <c r="AV1732" s="1">
        <f t="shared" si="330"/>
        <v>0</v>
      </c>
      <c r="AW1732" s="1">
        <f t="shared" si="331"/>
        <v>0</v>
      </c>
      <c r="AX1732" s="1">
        <f t="shared" si="332"/>
        <v>0</v>
      </c>
    </row>
    <row r="1733" spans="1:50" s="1" customFormat="1" ht="21.95" customHeight="1" outlineLevel="3" x14ac:dyDescent="0.2">
      <c r="A1733" s="11"/>
      <c r="B1733" s="12">
        <v>590</v>
      </c>
      <c r="C1733" s="12">
        <v>840</v>
      </c>
      <c r="D1733" s="12">
        <v>28244</v>
      </c>
      <c r="E1733" s="13" t="s">
        <v>5587</v>
      </c>
      <c r="F1733" s="13" t="s">
        <v>5630</v>
      </c>
      <c r="G1733" s="13" t="s">
        <v>163</v>
      </c>
      <c r="H1733" s="13"/>
      <c r="I1733" s="12">
        <v>2025</v>
      </c>
      <c r="J1733" s="13" t="s">
        <v>5631</v>
      </c>
      <c r="K1733" s="12">
        <v>9785961487657</v>
      </c>
      <c r="L1733" s="13" t="s">
        <v>5632</v>
      </c>
      <c r="M1733" s="12">
        <v>32</v>
      </c>
      <c r="N1733" s="14">
        <v>0.33</v>
      </c>
      <c r="O1733" s="12">
        <v>180</v>
      </c>
      <c r="P1733" s="12">
        <v>170</v>
      </c>
      <c r="Q1733" s="12">
        <v>10</v>
      </c>
      <c r="R1733" s="13" t="s">
        <v>100</v>
      </c>
      <c r="S1733" s="13"/>
      <c r="T1733" s="15">
        <v>3700</v>
      </c>
      <c r="U1733" s="13" t="s">
        <v>44</v>
      </c>
      <c r="V1733" s="13" t="s">
        <v>64</v>
      </c>
      <c r="W1733" s="12">
        <v>10</v>
      </c>
      <c r="X1733" s="33" t="str">
        <f>HYPERLINK("https://www.alpinabook.ru/catalog/book-mashinki-pomoshchniki","ссылка на книгу")</f>
        <v>ссылка на книгу</v>
      </c>
      <c r="Y1733" s="34" t="str">
        <f t="shared" ref="Y1733:Y1739" si="333">HYPERLINK("","")</f>
        <v/>
      </c>
      <c r="Z1733" s="13" t="s">
        <v>1350</v>
      </c>
      <c r="AT1733" s="1">
        <f t="shared" si="328"/>
        <v>0</v>
      </c>
      <c r="AU1733" s="1">
        <f t="shared" si="329"/>
        <v>0</v>
      </c>
      <c r="AV1733" s="1">
        <f t="shared" si="330"/>
        <v>0</v>
      </c>
      <c r="AW1733" s="1">
        <f t="shared" si="331"/>
        <v>0</v>
      </c>
      <c r="AX1733" s="1">
        <f t="shared" si="332"/>
        <v>0</v>
      </c>
    </row>
    <row r="1734" spans="1:50" s="1" customFormat="1" ht="21.95" customHeight="1" outlineLevel="3" x14ac:dyDescent="0.2">
      <c r="A1734" s="11"/>
      <c r="B1734" s="12">
        <v>390</v>
      </c>
      <c r="C1734" s="12">
        <v>640</v>
      </c>
      <c r="D1734" s="12">
        <v>28988</v>
      </c>
      <c r="E1734" s="13" t="s">
        <v>5633</v>
      </c>
      <c r="F1734" s="13" t="s">
        <v>5634</v>
      </c>
      <c r="G1734" s="13" t="s">
        <v>163</v>
      </c>
      <c r="H1734" s="13"/>
      <c r="I1734" s="12">
        <v>2023</v>
      </c>
      <c r="J1734" s="13" t="s">
        <v>5635</v>
      </c>
      <c r="K1734" s="12">
        <v>9785961487039</v>
      </c>
      <c r="L1734" s="13" t="s">
        <v>5636</v>
      </c>
      <c r="M1734" s="12">
        <v>32</v>
      </c>
      <c r="N1734" s="14">
        <v>0.38</v>
      </c>
      <c r="O1734" s="12">
        <v>220</v>
      </c>
      <c r="P1734" s="12">
        <v>290</v>
      </c>
      <c r="Q1734" s="12">
        <v>15</v>
      </c>
      <c r="R1734" s="13" t="s">
        <v>300</v>
      </c>
      <c r="S1734" s="13"/>
      <c r="T1734" s="15">
        <v>1200</v>
      </c>
      <c r="U1734" s="13" t="s">
        <v>52</v>
      </c>
      <c r="V1734" s="13" t="s">
        <v>269</v>
      </c>
      <c r="W1734" s="12">
        <v>10</v>
      </c>
      <c r="X1734" s="33" t="str">
        <f>HYPERLINK("https://www.alpinabook.ru/catalog/book-nasekomyshi","ссылка на книгу")</f>
        <v>ссылка на книгу</v>
      </c>
      <c r="Y1734" s="34" t="str">
        <f t="shared" si="333"/>
        <v/>
      </c>
      <c r="Z1734" s="13"/>
      <c r="AT1734" s="1">
        <f t="shared" si="328"/>
        <v>0</v>
      </c>
      <c r="AU1734" s="1">
        <f t="shared" si="329"/>
        <v>0</v>
      </c>
      <c r="AV1734" s="1">
        <f t="shared" si="330"/>
        <v>0</v>
      </c>
      <c r="AW1734" s="1">
        <f t="shared" si="331"/>
        <v>0</v>
      </c>
      <c r="AX1734" s="1">
        <f t="shared" si="332"/>
        <v>0</v>
      </c>
    </row>
    <row r="1735" spans="1:50" s="1" customFormat="1" ht="21.95" customHeight="1" outlineLevel="3" x14ac:dyDescent="0.2">
      <c r="A1735" s="11"/>
      <c r="B1735" s="12">
        <v>490</v>
      </c>
      <c r="C1735" s="12">
        <v>490</v>
      </c>
      <c r="D1735" s="12">
        <v>27763</v>
      </c>
      <c r="E1735" s="13" t="s">
        <v>5587</v>
      </c>
      <c r="F1735" s="13" t="s">
        <v>5637</v>
      </c>
      <c r="G1735" s="13" t="s">
        <v>163</v>
      </c>
      <c r="H1735" s="13"/>
      <c r="I1735" s="12">
        <v>2023</v>
      </c>
      <c r="J1735" s="13" t="s">
        <v>5638</v>
      </c>
      <c r="K1735" s="12">
        <v>9785961486230</v>
      </c>
      <c r="L1735" s="13" t="s">
        <v>5639</v>
      </c>
      <c r="M1735" s="12">
        <v>56</v>
      </c>
      <c r="N1735" s="14">
        <v>0.4</v>
      </c>
      <c r="O1735" s="12">
        <v>206</v>
      </c>
      <c r="P1735" s="12">
        <v>262</v>
      </c>
      <c r="Q1735" s="12">
        <v>14</v>
      </c>
      <c r="R1735" s="13" t="s">
        <v>300</v>
      </c>
      <c r="S1735" s="13" t="s">
        <v>5617</v>
      </c>
      <c r="T1735" s="15">
        <v>5000</v>
      </c>
      <c r="U1735" s="13" t="s">
        <v>52</v>
      </c>
      <c r="V1735" s="13" t="s">
        <v>269</v>
      </c>
      <c r="W1735" s="12">
        <v>10</v>
      </c>
      <c r="X1735" s="33" t="str">
        <f>HYPERLINK("https://www.alpinabook.ru/catalog/book-pishet-babushka-zima-new","ссылка на книгу")</f>
        <v>ссылка на книгу</v>
      </c>
      <c r="Y1735" s="34" t="str">
        <f t="shared" si="333"/>
        <v/>
      </c>
      <c r="Z1735" s="13"/>
      <c r="AT1735" s="1">
        <f t="shared" si="328"/>
        <v>0</v>
      </c>
      <c r="AU1735" s="1">
        <f t="shared" si="329"/>
        <v>0</v>
      </c>
      <c r="AV1735" s="1">
        <f t="shared" si="330"/>
        <v>0</v>
      </c>
      <c r="AW1735" s="1">
        <f t="shared" si="331"/>
        <v>0</v>
      </c>
      <c r="AX1735" s="1">
        <f t="shared" si="332"/>
        <v>0</v>
      </c>
    </row>
    <row r="1736" spans="1:50" s="1" customFormat="1" ht="24.95" customHeight="1" outlineLevel="3" x14ac:dyDescent="0.2">
      <c r="A1736" s="11"/>
      <c r="B1736" s="12">
        <v>390</v>
      </c>
      <c r="C1736" s="12">
        <v>640</v>
      </c>
      <c r="D1736" s="12">
        <v>28889</v>
      </c>
      <c r="E1736" s="13" t="s">
        <v>5640</v>
      </c>
      <c r="F1736" s="13" t="s">
        <v>5641</v>
      </c>
      <c r="G1736" s="13" t="s">
        <v>163</v>
      </c>
      <c r="H1736" s="13" t="s">
        <v>164</v>
      </c>
      <c r="I1736" s="12">
        <v>2024</v>
      </c>
      <c r="J1736" s="13" t="s">
        <v>5642</v>
      </c>
      <c r="K1736" s="12">
        <v>9785961490497</v>
      </c>
      <c r="L1736" s="13" t="s">
        <v>5643</v>
      </c>
      <c r="M1736" s="12">
        <v>20</v>
      </c>
      <c r="N1736" s="14">
        <v>0.22</v>
      </c>
      <c r="O1736" s="12">
        <v>180</v>
      </c>
      <c r="P1736" s="12">
        <v>180</v>
      </c>
      <c r="Q1736" s="12">
        <v>21</v>
      </c>
      <c r="R1736" s="13" t="s">
        <v>167</v>
      </c>
      <c r="S1736" s="13" t="s">
        <v>5542</v>
      </c>
      <c r="T1736" s="15">
        <v>5000</v>
      </c>
      <c r="U1736" s="13" t="s">
        <v>44</v>
      </c>
      <c r="V1736" s="13" t="s">
        <v>64</v>
      </c>
      <c r="W1736" s="12">
        <v>10</v>
      </c>
      <c r="X1736" s="33" t="str">
        <f>HYPERLINK("https://www.alpinabook.ru/catalog/book-porosyenok-idyet-v-detskiy-sad","ссылка на книгу")</f>
        <v>ссылка на книгу</v>
      </c>
      <c r="Y1736" s="34" t="str">
        <f t="shared" si="333"/>
        <v/>
      </c>
      <c r="Z1736" s="13"/>
      <c r="AT1736" s="1">
        <f t="shared" si="328"/>
        <v>0</v>
      </c>
      <c r="AU1736" s="1">
        <f t="shared" si="329"/>
        <v>0</v>
      </c>
      <c r="AV1736" s="1">
        <f t="shared" si="330"/>
        <v>0</v>
      </c>
      <c r="AW1736" s="1">
        <f t="shared" si="331"/>
        <v>0</v>
      </c>
      <c r="AX1736" s="1">
        <f t="shared" si="332"/>
        <v>0</v>
      </c>
    </row>
    <row r="1737" spans="1:50" s="1" customFormat="1" ht="24.95" customHeight="1" outlineLevel="3" x14ac:dyDescent="0.2">
      <c r="A1737" s="11"/>
      <c r="B1737" s="12">
        <v>390</v>
      </c>
      <c r="C1737" s="12">
        <v>640</v>
      </c>
      <c r="D1737" s="12">
        <v>28893</v>
      </c>
      <c r="E1737" s="13" t="s">
        <v>5640</v>
      </c>
      <c r="F1737" s="13" t="s">
        <v>5644</v>
      </c>
      <c r="G1737" s="13" t="s">
        <v>163</v>
      </c>
      <c r="H1737" s="13" t="s">
        <v>164</v>
      </c>
      <c r="I1737" s="12">
        <v>2024</v>
      </c>
      <c r="J1737" s="13" t="s">
        <v>5645</v>
      </c>
      <c r="K1737" s="12">
        <v>9785961490534</v>
      </c>
      <c r="L1737" s="13" t="s">
        <v>5646</v>
      </c>
      <c r="M1737" s="12">
        <v>20</v>
      </c>
      <c r="N1737" s="14">
        <v>0.21</v>
      </c>
      <c r="O1737" s="12">
        <v>180</v>
      </c>
      <c r="P1737" s="12">
        <v>180</v>
      </c>
      <c r="Q1737" s="12">
        <v>21</v>
      </c>
      <c r="R1737" s="13" t="s">
        <v>167</v>
      </c>
      <c r="S1737" s="13" t="s">
        <v>5542</v>
      </c>
      <c r="T1737" s="15">
        <v>5000</v>
      </c>
      <c r="U1737" s="13" t="s">
        <v>44</v>
      </c>
      <c r="V1737" s="13" t="s">
        <v>64</v>
      </c>
      <c r="W1737" s="12">
        <v>10</v>
      </c>
      <c r="X1737" s="33" t="str">
        <f>HYPERLINK("https://www.alpinabook.ru/catalog/book-porosyenok-idyet-k-vrachu","ссылка на книгу")</f>
        <v>ссылка на книгу</v>
      </c>
      <c r="Y1737" s="34" t="str">
        <f t="shared" si="333"/>
        <v/>
      </c>
      <c r="Z1737" s="13"/>
      <c r="AT1737" s="1">
        <f t="shared" si="328"/>
        <v>0</v>
      </c>
      <c r="AU1737" s="1">
        <f t="shared" si="329"/>
        <v>0</v>
      </c>
      <c r="AV1737" s="1">
        <f t="shared" si="330"/>
        <v>0</v>
      </c>
      <c r="AW1737" s="1">
        <f t="shared" si="331"/>
        <v>0</v>
      </c>
      <c r="AX1737" s="1">
        <f t="shared" si="332"/>
        <v>0</v>
      </c>
    </row>
    <row r="1738" spans="1:50" s="1" customFormat="1" ht="24.95" customHeight="1" outlineLevel="3" x14ac:dyDescent="0.2">
      <c r="A1738" s="11"/>
      <c r="B1738" s="12">
        <v>390</v>
      </c>
      <c r="C1738" s="12">
        <v>640</v>
      </c>
      <c r="D1738" s="12">
        <v>28892</v>
      </c>
      <c r="E1738" s="13" t="s">
        <v>5640</v>
      </c>
      <c r="F1738" s="13" t="s">
        <v>5647</v>
      </c>
      <c r="G1738" s="13" t="s">
        <v>163</v>
      </c>
      <c r="H1738" s="13" t="s">
        <v>164</v>
      </c>
      <c r="I1738" s="12">
        <v>2024</v>
      </c>
      <c r="J1738" s="13" t="s">
        <v>5648</v>
      </c>
      <c r="K1738" s="12">
        <v>9785961490527</v>
      </c>
      <c r="L1738" s="13" t="s">
        <v>5649</v>
      </c>
      <c r="M1738" s="12">
        <v>20</v>
      </c>
      <c r="N1738" s="14">
        <v>0.22</v>
      </c>
      <c r="O1738" s="12">
        <v>180</v>
      </c>
      <c r="P1738" s="12">
        <v>180</v>
      </c>
      <c r="Q1738" s="12">
        <v>21</v>
      </c>
      <c r="R1738" s="13" t="s">
        <v>167</v>
      </c>
      <c r="S1738" s="13" t="s">
        <v>5542</v>
      </c>
      <c r="T1738" s="15">
        <v>5000</v>
      </c>
      <c r="U1738" s="13" t="s">
        <v>44</v>
      </c>
      <c r="V1738" s="13" t="s">
        <v>64</v>
      </c>
      <c r="W1738" s="12">
        <v>10</v>
      </c>
      <c r="X1738" s="33" t="str">
        <f>HYPERLINK("https://www.alpinabook.ru/catalog/book-porosyenok-pora-kupatsya","ссылка на книгу")</f>
        <v>ссылка на книгу</v>
      </c>
      <c r="Y1738" s="34" t="str">
        <f t="shared" si="333"/>
        <v/>
      </c>
      <c r="Z1738" s="13"/>
      <c r="AT1738" s="1">
        <f t="shared" si="328"/>
        <v>0</v>
      </c>
      <c r="AU1738" s="1">
        <f t="shared" si="329"/>
        <v>0</v>
      </c>
      <c r="AV1738" s="1">
        <f t="shared" si="330"/>
        <v>0</v>
      </c>
      <c r="AW1738" s="1">
        <f t="shared" si="331"/>
        <v>0</v>
      </c>
      <c r="AX1738" s="1">
        <f t="shared" si="332"/>
        <v>0</v>
      </c>
    </row>
    <row r="1739" spans="1:50" s="1" customFormat="1" ht="24.95" customHeight="1" outlineLevel="3" x14ac:dyDescent="0.2">
      <c r="A1739" s="11"/>
      <c r="B1739" s="12">
        <v>390</v>
      </c>
      <c r="C1739" s="12">
        <v>640</v>
      </c>
      <c r="D1739" s="12">
        <v>28891</v>
      </c>
      <c r="E1739" s="13" t="s">
        <v>5640</v>
      </c>
      <c r="F1739" s="13" t="s">
        <v>5650</v>
      </c>
      <c r="G1739" s="13" t="s">
        <v>163</v>
      </c>
      <c r="H1739" s="13" t="s">
        <v>164</v>
      </c>
      <c r="I1739" s="12">
        <v>2024</v>
      </c>
      <c r="J1739" s="13" t="s">
        <v>5651</v>
      </c>
      <c r="K1739" s="12">
        <v>9785961490510</v>
      </c>
      <c r="L1739" s="13" t="s">
        <v>5652</v>
      </c>
      <c r="M1739" s="12">
        <v>20</v>
      </c>
      <c r="N1739" s="14">
        <v>0.22</v>
      </c>
      <c r="O1739" s="12">
        <v>180</v>
      </c>
      <c r="P1739" s="12">
        <v>180</v>
      </c>
      <c r="Q1739" s="12">
        <v>21</v>
      </c>
      <c r="R1739" s="13" t="s">
        <v>167</v>
      </c>
      <c r="S1739" s="13" t="s">
        <v>5542</v>
      </c>
      <c r="T1739" s="15">
        <v>5000</v>
      </c>
      <c r="U1739" s="13" t="s">
        <v>44</v>
      </c>
      <c r="V1739" s="13" t="s">
        <v>64</v>
      </c>
      <c r="W1739" s="12">
        <v>10</v>
      </c>
      <c r="X1739" s="33" t="str">
        <f>HYPERLINK("https://www.alpinabook.ru/catalog/book-porosyenok-pora-spat","ссылка на книгу")</f>
        <v>ссылка на книгу</v>
      </c>
      <c r="Y1739" s="34" t="str">
        <f t="shared" si="333"/>
        <v/>
      </c>
      <c r="Z1739" s="13"/>
      <c r="AT1739" s="1">
        <f t="shared" si="328"/>
        <v>0</v>
      </c>
      <c r="AU1739" s="1">
        <f t="shared" si="329"/>
        <v>0</v>
      </c>
      <c r="AV1739" s="1">
        <f t="shared" si="330"/>
        <v>0</v>
      </c>
      <c r="AW1739" s="1">
        <f t="shared" si="331"/>
        <v>0</v>
      </c>
      <c r="AX1739" s="1">
        <f t="shared" si="332"/>
        <v>0</v>
      </c>
    </row>
    <row r="1740" spans="1:50" s="1" customFormat="1" ht="24.95" customHeight="1" outlineLevel="3" x14ac:dyDescent="0.2">
      <c r="A1740" s="11"/>
      <c r="B1740" s="12">
        <v>540</v>
      </c>
      <c r="C1740" s="12">
        <v>790</v>
      </c>
      <c r="D1740" s="12">
        <v>26948</v>
      </c>
      <c r="E1740" s="13" t="s">
        <v>5587</v>
      </c>
      <c r="F1740" s="13" t="s">
        <v>5653</v>
      </c>
      <c r="G1740" s="13" t="s">
        <v>163</v>
      </c>
      <c r="H1740" s="13"/>
      <c r="I1740" s="12">
        <v>2025</v>
      </c>
      <c r="J1740" s="13" t="s">
        <v>5654</v>
      </c>
      <c r="K1740" s="12">
        <v>9785961483451</v>
      </c>
      <c r="L1740" s="13" t="s">
        <v>5655</v>
      </c>
      <c r="M1740" s="12">
        <v>72</v>
      </c>
      <c r="N1740" s="14">
        <v>0.4</v>
      </c>
      <c r="O1740" s="12">
        <v>210</v>
      </c>
      <c r="P1740" s="12">
        <v>270</v>
      </c>
      <c r="Q1740" s="12">
        <v>12</v>
      </c>
      <c r="R1740" s="13" t="s">
        <v>300</v>
      </c>
      <c r="S1740" s="13" t="s">
        <v>5617</v>
      </c>
      <c r="T1740" s="15">
        <v>2000</v>
      </c>
      <c r="U1740" s="13" t="s">
        <v>52</v>
      </c>
      <c r="V1740" s="13" t="s">
        <v>269</v>
      </c>
      <c r="W1740" s="12">
        <v>10</v>
      </c>
      <c r="X1740" s="33" t="str">
        <f>HYPERLINK("https://www.alpinabook.ru/catalog/book-skazki-o-tsare-kolbase","ссылка на книгу")</f>
        <v>ссылка на книгу</v>
      </c>
      <c r="Y1740" s="34" t="str">
        <f>HYPERLINK("https://api-enni.alpina.ru/FileCertificateProject/435","https://api-enni.alpina.ru/FileCertificateProject/435")</f>
        <v>https://api-enni.alpina.ru/FileCertificateProject/435</v>
      </c>
      <c r="Z1740" s="13"/>
      <c r="AT1740" s="1">
        <f t="shared" si="328"/>
        <v>0</v>
      </c>
      <c r="AU1740" s="1">
        <f t="shared" si="329"/>
        <v>0</v>
      </c>
      <c r="AV1740" s="1">
        <f t="shared" si="330"/>
        <v>0</v>
      </c>
      <c r="AW1740" s="1">
        <f t="shared" si="331"/>
        <v>0</v>
      </c>
      <c r="AX1740" s="1">
        <f t="shared" si="332"/>
        <v>0</v>
      </c>
    </row>
    <row r="1741" spans="1:50" ht="11.1" customHeight="1" outlineLevel="2" x14ac:dyDescent="0.2">
      <c r="A1741" s="40" t="s">
        <v>5656</v>
      </c>
      <c r="B1741" s="40"/>
      <c r="C1741" s="40"/>
      <c r="D1741" s="40"/>
      <c r="E1741" s="40"/>
      <c r="F1741" s="40"/>
      <c r="G1741" s="40"/>
      <c r="H1741" s="40"/>
      <c r="I1741" s="40"/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20"/>
    </row>
    <row r="1742" spans="1:50" s="1" customFormat="1" ht="21.95" customHeight="1" outlineLevel="3" x14ac:dyDescent="0.2">
      <c r="A1742" s="11"/>
      <c r="B1742" s="12">
        <v>840</v>
      </c>
      <c r="C1742" s="15">
        <v>1290</v>
      </c>
      <c r="D1742" s="12">
        <v>31191</v>
      </c>
      <c r="E1742" s="13" t="s">
        <v>283</v>
      </c>
      <c r="F1742" s="13" t="s">
        <v>5657</v>
      </c>
      <c r="G1742" s="13" t="s">
        <v>163</v>
      </c>
      <c r="H1742" s="13"/>
      <c r="I1742" s="12">
        <v>2024</v>
      </c>
      <c r="J1742" s="13" t="s">
        <v>5658</v>
      </c>
      <c r="K1742" s="12">
        <v>9785961497854</v>
      </c>
      <c r="L1742" s="13" t="s">
        <v>5659</v>
      </c>
      <c r="M1742" s="12">
        <v>14</v>
      </c>
      <c r="N1742" s="14">
        <v>0.53</v>
      </c>
      <c r="O1742" s="12">
        <v>220</v>
      </c>
      <c r="P1742" s="12">
        <v>240</v>
      </c>
      <c r="Q1742" s="12">
        <v>6</v>
      </c>
      <c r="R1742" s="13" t="s">
        <v>300</v>
      </c>
      <c r="S1742" s="13"/>
      <c r="T1742" s="15">
        <v>3000</v>
      </c>
      <c r="U1742" s="13" t="s">
        <v>44</v>
      </c>
      <c r="V1742" s="13" t="s">
        <v>64</v>
      </c>
      <c r="W1742" s="12">
        <v>10</v>
      </c>
      <c r="X1742" s="33" t="str">
        <f>HYPERLINK("https://www.alpinabook.ru/catalog/book-a-gde-vse","ссылка на книгу")</f>
        <v>ссылка на книгу</v>
      </c>
      <c r="Y1742" s="34" t="str">
        <f>HYPERLINK("","")</f>
        <v/>
      </c>
      <c r="Z1742" s="13"/>
      <c r="AT1742" s="1">
        <f t="shared" ref="AT1742:AT1773" si="334">IF($A1742&lt;&gt;0,1,0)</f>
        <v>0</v>
      </c>
      <c r="AU1742" s="1">
        <f t="shared" ref="AU1742:AU1773" si="335">$A1742*$B1742</f>
        <v>0</v>
      </c>
      <c r="AV1742" s="1">
        <f t="shared" ref="AV1742:AV1773" si="336">$A1742*$N1742</f>
        <v>0</v>
      </c>
      <c r="AW1742" s="1">
        <f t="shared" ref="AW1742:AW1773" si="337">IF($Q1742=0,0,INT($A1742/$Q1742))</f>
        <v>0</v>
      </c>
      <c r="AX1742" s="1">
        <f t="shared" ref="AX1742:AX1773" si="338">$A1742-$AW1742*$Q1742</f>
        <v>0</v>
      </c>
    </row>
    <row r="1743" spans="1:50" s="1" customFormat="1" ht="24.95" customHeight="1" outlineLevel="3" x14ac:dyDescent="0.2">
      <c r="A1743" s="26"/>
      <c r="B1743" s="27">
        <v>340</v>
      </c>
      <c r="C1743" s="27">
        <v>340</v>
      </c>
      <c r="D1743" s="27">
        <v>24539</v>
      </c>
      <c r="E1743" s="29" t="s">
        <v>5660</v>
      </c>
      <c r="F1743" s="29" t="s">
        <v>5661</v>
      </c>
      <c r="G1743" s="29" t="s">
        <v>163</v>
      </c>
      <c r="H1743" s="29"/>
      <c r="I1743" s="27">
        <v>2022</v>
      </c>
      <c r="J1743" s="29" t="s">
        <v>5662</v>
      </c>
      <c r="K1743" s="27">
        <v>9785961443356</v>
      </c>
      <c r="L1743" s="29" t="s">
        <v>5663</v>
      </c>
      <c r="M1743" s="27">
        <v>32</v>
      </c>
      <c r="N1743" s="30">
        <v>0.4</v>
      </c>
      <c r="O1743" s="27">
        <v>227</v>
      </c>
      <c r="P1743" s="27">
        <v>298</v>
      </c>
      <c r="Q1743" s="27">
        <v>14</v>
      </c>
      <c r="R1743" s="29" t="s">
        <v>167</v>
      </c>
      <c r="S1743" s="29"/>
      <c r="T1743" s="28">
        <v>1000</v>
      </c>
      <c r="U1743" s="29" t="s">
        <v>52</v>
      </c>
      <c r="V1743" s="29" t="s">
        <v>269</v>
      </c>
      <c r="W1743" s="27">
        <v>10</v>
      </c>
      <c r="X1743" s="37" t="str">
        <f>HYPERLINK("https://www.alpinabook.ru/catalog/book-abonent-vremenno-otdykhaet","ссылка на книгу")</f>
        <v>ссылка на книгу</v>
      </c>
      <c r="Y1743" s="38" t="str">
        <f>HYPERLINK("https://api-enni.alpina.ru/FileCertificateProject/31","https://api-enni.alpina.ru/FileCertificateProject/31")</f>
        <v>https://api-enni.alpina.ru/FileCertificateProject/31</v>
      </c>
      <c r="Z1743" s="29"/>
      <c r="AT1743" s="1">
        <f t="shared" si="334"/>
        <v>0</v>
      </c>
      <c r="AU1743" s="1">
        <f t="shared" si="335"/>
        <v>0</v>
      </c>
      <c r="AV1743" s="1">
        <f t="shared" si="336"/>
        <v>0</v>
      </c>
      <c r="AW1743" s="1">
        <f t="shared" si="337"/>
        <v>0</v>
      </c>
      <c r="AX1743" s="1">
        <f t="shared" si="338"/>
        <v>0</v>
      </c>
    </row>
    <row r="1744" spans="1:50" s="1" customFormat="1" ht="24.95" customHeight="1" outlineLevel="3" x14ac:dyDescent="0.2">
      <c r="A1744" s="11"/>
      <c r="B1744" s="15">
        <v>1690</v>
      </c>
      <c r="C1744" s="15">
        <v>2190</v>
      </c>
      <c r="D1744" s="12">
        <v>24664</v>
      </c>
      <c r="E1744" s="13" t="s">
        <v>5664</v>
      </c>
      <c r="F1744" s="13" t="s">
        <v>5665</v>
      </c>
      <c r="G1744" s="13" t="s">
        <v>97</v>
      </c>
      <c r="H1744" s="13"/>
      <c r="I1744" s="12">
        <v>2023</v>
      </c>
      <c r="J1744" s="13" t="s">
        <v>5666</v>
      </c>
      <c r="K1744" s="12">
        <v>9785907470996</v>
      </c>
      <c r="L1744" s="13" t="s">
        <v>5667</v>
      </c>
      <c r="M1744" s="12">
        <v>464</v>
      </c>
      <c r="N1744" s="14">
        <v>1.54</v>
      </c>
      <c r="O1744" s="12">
        <v>220</v>
      </c>
      <c r="P1744" s="12">
        <v>310</v>
      </c>
      <c r="Q1744" s="12">
        <v>3</v>
      </c>
      <c r="R1744" s="13" t="s">
        <v>167</v>
      </c>
      <c r="S1744" s="13"/>
      <c r="T1744" s="15">
        <v>2000</v>
      </c>
      <c r="U1744" s="13" t="s">
        <v>52</v>
      </c>
      <c r="V1744" s="13" t="s">
        <v>269</v>
      </c>
      <c r="W1744" s="12">
        <v>10</v>
      </c>
      <c r="X1744" s="33" t="str">
        <f>HYPERLINK("https://www.alpinabook.ru/catalog/book-atlas","ссылка на книгу")</f>
        <v>ссылка на книгу</v>
      </c>
      <c r="Y1744" s="34" t="str">
        <f>HYPERLINK("https://api-enni.alpina.ru/FilePrivilegesApproval/129","https://api-enni.alpina.ru/FilePrivilegesApproval/129")</f>
        <v>https://api-enni.alpina.ru/FilePrivilegesApproval/129</v>
      </c>
      <c r="Z1744" s="13"/>
      <c r="AT1744" s="1">
        <f t="shared" si="334"/>
        <v>0</v>
      </c>
      <c r="AU1744" s="1">
        <f t="shared" si="335"/>
        <v>0</v>
      </c>
      <c r="AV1744" s="1">
        <f t="shared" si="336"/>
        <v>0</v>
      </c>
      <c r="AW1744" s="1">
        <f t="shared" si="337"/>
        <v>0</v>
      </c>
      <c r="AX1744" s="1">
        <f t="shared" si="338"/>
        <v>0</v>
      </c>
    </row>
    <row r="1745" spans="1:50" s="1" customFormat="1" ht="24.95" customHeight="1" outlineLevel="3" x14ac:dyDescent="0.2">
      <c r="A1745" s="11"/>
      <c r="B1745" s="12">
        <v>590</v>
      </c>
      <c r="C1745" s="12">
        <v>840</v>
      </c>
      <c r="D1745" s="12">
        <v>31498</v>
      </c>
      <c r="E1745" s="13" t="s">
        <v>5668</v>
      </c>
      <c r="F1745" s="13" t="s">
        <v>5669</v>
      </c>
      <c r="G1745" s="13" t="s">
        <v>49</v>
      </c>
      <c r="H1745" s="13" t="s">
        <v>5670</v>
      </c>
      <c r="I1745" s="12">
        <v>2024</v>
      </c>
      <c r="J1745" s="13" t="s">
        <v>5671</v>
      </c>
      <c r="K1745" s="12">
        <v>9786018115943</v>
      </c>
      <c r="L1745" s="13" t="s">
        <v>5672</v>
      </c>
      <c r="M1745" s="12">
        <v>224</v>
      </c>
      <c r="N1745" s="14">
        <v>0.19</v>
      </c>
      <c r="O1745" s="12">
        <v>130</v>
      </c>
      <c r="P1745" s="12">
        <v>200</v>
      </c>
      <c r="Q1745" s="12">
        <v>18</v>
      </c>
      <c r="R1745" s="13" t="s">
        <v>82</v>
      </c>
      <c r="S1745" s="13"/>
      <c r="T1745" s="15">
        <v>1500</v>
      </c>
      <c r="U1745" s="13" t="s">
        <v>44</v>
      </c>
      <c r="V1745" s="13" t="s">
        <v>269</v>
      </c>
      <c r="W1745" s="12">
        <v>20</v>
      </c>
      <c r="X1745" s="33" t="str">
        <f>HYPERLINK("https://www.alpinabook.ru/catalog/book-baursak-i-karuzo","ссылка на книгу")</f>
        <v>ссылка на книгу</v>
      </c>
      <c r="Y1745" s="34" t="str">
        <f>HYPERLINK("","")</f>
        <v/>
      </c>
      <c r="Z1745" s="13"/>
      <c r="AT1745" s="1">
        <f t="shared" si="334"/>
        <v>0</v>
      </c>
      <c r="AU1745" s="1">
        <f t="shared" si="335"/>
        <v>0</v>
      </c>
      <c r="AV1745" s="1">
        <f t="shared" si="336"/>
        <v>0</v>
      </c>
      <c r="AW1745" s="1">
        <f t="shared" si="337"/>
        <v>0</v>
      </c>
      <c r="AX1745" s="1">
        <f t="shared" si="338"/>
        <v>0</v>
      </c>
    </row>
    <row r="1746" spans="1:50" s="1" customFormat="1" ht="24.95" customHeight="1" outlineLevel="3" x14ac:dyDescent="0.2">
      <c r="A1746" s="11"/>
      <c r="B1746" s="12">
        <v>960</v>
      </c>
      <c r="C1746" s="15">
        <v>1390</v>
      </c>
      <c r="D1746" s="12">
        <v>29162</v>
      </c>
      <c r="E1746" s="13" t="s">
        <v>5673</v>
      </c>
      <c r="F1746" s="13" t="s">
        <v>5674</v>
      </c>
      <c r="G1746" s="13" t="s">
        <v>163</v>
      </c>
      <c r="H1746" s="13" t="s">
        <v>1090</v>
      </c>
      <c r="I1746" s="12">
        <v>2024</v>
      </c>
      <c r="J1746" s="13" t="s">
        <v>5675</v>
      </c>
      <c r="K1746" s="12">
        <v>9785961491685</v>
      </c>
      <c r="L1746" s="13" t="s">
        <v>5676</v>
      </c>
      <c r="M1746" s="12">
        <v>160</v>
      </c>
      <c r="N1746" s="14">
        <v>0.6</v>
      </c>
      <c r="O1746" s="12">
        <v>200</v>
      </c>
      <c r="P1746" s="12">
        <v>250</v>
      </c>
      <c r="Q1746" s="12">
        <v>8</v>
      </c>
      <c r="R1746" s="13" t="s">
        <v>300</v>
      </c>
      <c r="S1746" s="13"/>
      <c r="T1746" s="15">
        <v>3000</v>
      </c>
      <c r="U1746" s="13" t="s">
        <v>52</v>
      </c>
      <c r="V1746" s="13" t="s">
        <v>59</v>
      </c>
      <c r="W1746" s="12">
        <v>10</v>
      </c>
      <c r="X1746" s="33" t="str">
        <f>HYPERLINK("https://www.alpinabook.ru/catalog/book-bolshaya-kniga-velosipedov","ссылка на книгу")</f>
        <v>ссылка на книгу</v>
      </c>
      <c r="Y1746" s="34" t="str">
        <f>HYPERLINK("","")</f>
        <v/>
      </c>
      <c r="Z1746" s="13"/>
      <c r="AT1746" s="1">
        <f t="shared" si="334"/>
        <v>0</v>
      </c>
      <c r="AU1746" s="1">
        <f t="shared" si="335"/>
        <v>0</v>
      </c>
      <c r="AV1746" s="1">
        <f t="shared" si="336"/>
        <v>0</v>
      </c>
      <c r="AW1746" s="1">
        <f t="shared" si="337"/>
        <v>0</v>
      </c>
      <c r="AX1746" s="1">
        <f t="shared" si="338"/>
        <v>0</v>
      </c>
    </row>
    <row r="1747" spans="1:50" s="1" customFormat="1" ht="24.95" customHeight="1" outlineLevel="3" x14ac:dyDescent="0.2">
      <c r="A1747" s="11"/>
      <c r="B1747" s="12">
        <v>840</v>
      </c>
      <c r="C1747" s="15">
        <v>1290</v>
      </c>
      <c r="D1747" s="12">
        <v>25641</v>
      </c>
      <c r="E1747" s="13" t="s">
        <v>5677</v>
      </c>
      <c r="F1747" s="13" t="s">
        <v>5678</v>
      </c>
      <c r="G1747" s="13" t="s">
        <v>163</v>
      </c>
      <c r="H1747" s="13" t="s">
        <v>1090</v>
      </c>
      <c r="I1747" s="12">
        <v>2022</v>
      </c>
      <c r="J1747" s="13" t="s">
        <v>5679</v>
      </c>
      <c r="K1747" s="12">
        <v>9785961478273</v>
      </c>
      <c r="L1747" s="13" t="s">
        <v>5680</v>
      </c>
      <c r="M1747" s="12">
        <v>52</v>
      </c>
      <c r="N1747" s="14">
        <v>0.55000000000000004</v>
      </c>
      <c r="O1747" s="12">
        <v>246</v>
      </c>
      <c r="P1747" s="12">
        <v>328</v>
      </c>
      <c r="Q1747" s="12">
        <v>14</v>
      </c>
      <c r="R1747" s="13" t="s">
        <v>167</v>
      </c>
      <c r="S1747" s="13"/>
      <c r="T1747" s="15">
        <v>5000</v>
      </c>
      <c r="U1747" s="13" t="s">
        <v>52</v>
      </c>
      <c r="V1747" s="13" t="s">
        <v>269</v>
      </c>
      <c r="W1747" s="12">
        <v>10</v>
      </c>
      <c r="X1747" s="33" t="str">
        <f>HYPERLINK("https://www.alpinabook.ru/catalog/book-bolshaya-kniga-vody","ссылка на книгу")</f>
        <v>ссылка на книгу</v>
      </c>
      <c r="Y1747" s="34" t="str">
        <f>HYPERLINK("https://api-enni.alpina.ru/FileCertificateProject/563","https://api-enni.alpina.ru/FileCertificateProject/563")</f>
        <v>https://api-enni.alpina.ru/FileCertificateProject/563</v>
      </c>
      <c r="Z1747" s="13"/>
      <c r="AT1747" s="1">
        <f t="shared" si="334"/>
        <v>0</v>
      </c>
      <c r="AU1747" s="1">
        <f t="shared" si="335"/>
        <v>0</v>
      </c>
      <c r="AV1747" s="1">
        <f t="shared" si="336"/>
        <v>0</v>
      </c>
      <c r="AW1747" s="1">
        <f t="shared" si="337"/>
        <v>0</v>
      </c>
      <c r="AX1747" s="1">
        <f t="shared" si="338"/>
        <v>0</v>
      </c>
    </row>
    <row r="1748" spans="1:50" s="1" customFormat="1" ht="24.95" customHeight="1" outlineLevel="3" x14ac:dyDescent="0.2">
      <c r="A1748" s="11"/>
      <c r="B1748" s="12">
        <v>790</v>
      </c>
      <c r="C1748" s="15">
        <v>1190</v>
      </c>
      <c r="D1748" s="12">
        <v>29885</v>
      </c>
      <c r="E1748" s="13" t="s">
        <v>5681</v>
      </c>
      <c r="F1748" s="13" t="s">
        <v>5682</v>
      </c>
      <c r="G1748" s="13" t="s">
        <v>163</v>
      </c>
      <c r="H1748" s="13"/>
      <c r="I1748" s="12">
        <v>2024</v>
      </c>
      <c r="J1748" s="13" t="s">
        <v>5683</v>
      </c>
      <c r="K1748" s="12">
        <v>9785961494273</v>
      </c>
      <c r="L1748" s="13" t="s">
        <v>5684</v>
      </c>
      <c r="M1748" s="12">
        <v>72</v>
      </c>
      <c r="N1748" s="14">
        <v>0.42</v>
      </c>
      <c r="O1748" s="12">
        <v>220</v>
      </c>
      <c r="P1748" s="12">
        <v>270</v>
      </c>
      <c r="Q1748" s="12">
        <v>14</v>
      </c>
      <c r="R1748" s="13" t="s">
        <v>94</v>
      </c>
      <c r="S1748" s="13"/>
      <c r="T1748" s="15">
        <v>3000</v>
      </c>
      <c r="U1748" s="13" t="s">
        <v>52</v>
      </c>
      <c r="V1748" s="13" t="s">
        <v>269</v>
      </c>
      <c r="W1748" s="12">
        <v>10</v>
      </c>
      <c r="X1748" s="33" t="str">
        <f>HYPERLINK("https://www.alpinabook.ru/catalog/book-bolshaya-kniga-mostov","ссылка на книгу")</f>
        <v>ссылка на книгу</v>
      </c>
      <c r="Y1748" s="34" t="str">
        <f>HYPERLINK("","")</f>
        <v/>
      </c>
      <c r="Z1748" s="13"/>
      <c r="AT1748" s="1">
        <f t="shared" si="334"/>
        <v>0</v>
      </c>
      <c r="AU1748" s="1">
        <f t="shared" si="335"/>
        <v>0</v>
      </c>
      <c r="AV1748" s="1">
        <f t="shared" si="336"/>
        <v>0</v>
      </c>
      <c r="AW1748" s="1">
        <f t="shared" si="337"/>
        <v>0</v>
      </c>
      <c r="AX1748" s="1">
        <f t="shared" si="338"/>
        <v>0</v>
      </c>
    </row>
    <row r="1749" spans="1:50" s="1" customFormat="1" ht="24.95" customHeight="1" outlineLevel="3" x14ac:dyDescent="0.2">
      <c r="A1749" s="11"/>
      <c r="B1749" s="12">
        <v>740</v>
      </c>
      <c r="C1749" s="12">
        <v>740</v>
      </c>
      <c r="D1749" s="12">
        <v>23595</v>
      </c>
      <c r="E1749" s="13" t="s">
        <v>5685</v>
      </c>
      <c r="F1749" s="13" t="s">
        <v>5686</v>
      </c>
      <c r="G1749" s="13" t="s">
        <v>163</v>
      </c>
      <c r="H1749" s="13"/>
      <c r="I1749" s="12">
        <v>2022</v>
      </c>
      <c r="J1749" s="13" t="s">
        <v>5687</v>
      </c>
      <c r="K1749" s="12">
        <v>9785961473155</v>
      </c>
      <c r="L1749" s="13" t="s">
        <v>5688</v>
      </c>
      <c r="M1749" s="12">
        <v>28</v>
      </c>
      <c r="N1749" s="14">
        <v>0.43</v>
      </c>
      <c r="O1749" s="12">
        <v>223</v>
      </c>
      <c r="P1749" s="12">
        <v>287</v>
      </c>
      <c r="Q1749" s="12">
        <v>12</v>
      </c>
      <c r="R1749" s="13" t="s">
        <v>167</v>
      </c>
      <c r="S1749" s="13"/>
      <c r="T1749" s="15">
        <v>3000</v>
      </c>
      <c r="U1749" s="13" t="s">
        <v>52</v>
      </c>
      <c r="V1749" s="13" t="s">
        <v>269</v>
      </c>
      <c r="W1749" s="12">
        <v>10</v>
      </c>
      <c r="X1749" s="33" t="str">
        <f>HYPERLINK("https://www.alpinabook.ru/catalog/book-bolshaya-kniga-rynkov","ссылка на книгу")</f>
        <v>ссылка на книгу</v>
      </c>
      <c r="Y1749" s="34" t="str">
        <f>HYPERLINK("https://api-enni.alpina.ru/FileCertificateProject/679","https://api-enni.alpina.ru/FileCertificateProject/679")</f>
        <v>https://api-enni.alpina.ru/FileCertificateProject/679</v>
      </c>
      <c r="Z1749" s="13"/>
      <c r="AT1749" s="1">
        <f t="shared" si="334"/>
        <v>0</v>
      </c>
      <c r="AU1749" s="1">
        <f t="shared" si="335"/>
        <v>0</v>
      </c>
      <c r="AV1749" s="1">
        <f t="shared" si="336"/>
        <v>0</v>
      </c>
      <c r="AW1749" s="1">
        <f t="shared" si="337"/>
        <v>0</v>
      </c>
      <c r="AX1749" s="1">
        <f t="shared" si="338"/>
        <v>0</v>
      </c>
    </row>
    <row r="1750" spans="1:50" s="1" customFormat="1" ht="24.95" customHeight="1" outlineLevel="3" x14ac:dyDescent="0.2">
      <c r="A1750" s="11"/>
      <c r="B1750" s="12">
        <v>540</v>
      </c>
      <c r="C1750" s="12">
        <v>790</v>
      </c>
      <c r="D1750" s="12">
        <v>27382</v>
      </c>
      <c r="E1750" s="13" t="s">
        <v>5689</v>
      </c>
      <c r="F1750" s="13" t="s">
        <v>5690</v>
      </c>
      <c r="G1750" s="13" t="s">
        <v>163</v>
      </c>
      <c r="H1750" s="13"/>
      <c r="I1750" s="12">
        <v>2024</v>
      </c>
      <c r="J1750" s="13" t="s">
        <v>5691</v>
      </c>
      <c r="K1750" s="12">
        <v>9785961484762</v>
      </c>
      <c r="L1750" s="13" t="s">
        <v>5692</v>
      </c>
      <c r="M1750" s="12">
        <v>48</v>
      </c>
      <c r="N1750" s="14">
        <v>0.4</v>
      </c>
      <c r="O1750" s="12">
        <v>220</v>
      </c>
      <c r="P1750" s="12">
        <v>290</v>
      </c>
      <c r="Q1750" s="12">
        <v>12</v>
      </c>
      <c r="R1750" s="13" t="s">
        <v>167</v>
      </c>
      <c r="S1750" s="13"/>
      <c r="T1750" s="15">
        <v>3000</v>
      </c>
      <c r="U1750" s="13" t="s">
        <v>52</v>
      </c>
      <c r="V1750" s="13" t="s">
        <v>269</v>
      </c>
      <c r="W1750" s="12">
        <v>10</v>
      </c>
      <c r="X1750" s="33" t="str">
        <f>HYPERLINK("https://www.alpinabook.ru/catalog/book-bolshaya-kniga-samolyetov","ссылка на книгу")</f>
        <v>ссылка на книгу</v>
      </c>
      <c r="Y1750" s="34" t="str">
        <f>HYPERLINK("https://api-enni.alpina.ru/FileCertificateProject/613","https://api-enni.alpina.ru/FileCertificateProject/613")</f>
        <v>https://api-enni.alpina.ru/FileCertificateProject/613</v>
      </c>
      <c r="Z1750" s="13"/>
      <c r="AT1750" s="1">
        <f t="shared" si="334"/>
        <v>0</v>
      </c>
      <c r="AU1750" s="1">
        <f t="shared" si="335"/>
        <v>0</v>
      </c>
      <c r="AV1750" s="1">
        <f t="shared" si="336"/>
        <v>0</v>
      </c>
      <c r="AW1750" s="1">
        <f t="shared" si="337"/>
        <v>0</v>
      </c>
      <c r="AX1750" s="1">
        <f t="shared" si="338"/>
        <v>0</v>
      </c>
    </row>
    <row r="1751" spans="1:50" s="1" customFormat="1" ht="24.95" customHeight="1" outlineLevel="3" x14ac:dyDescent="0.2">
      <c r="A1751" s="11"/>
      <c r="B1751" s="12">
        <v>440</v>
      </c>
      <c r="C1751" s="12">
        <v>440</v>
      </c>
      <c r="D1751" s="12">
        <v>23958</v>
      </c>
      <c r="E1751" s="13" t="s">
        <v>5547</v>
      </c>
      <c r="F1751" s="13" t="s">
        <v>5693</v>
      </c>
      <c r="G1751" s="13" t="s">
        <v>163</v>
      </c>
      <c r="H1751" s="13" t="s">
        <v>40</v>
      </c>
      <c r="I1751" s="12">
        <v>2022</v>
      </c>
      <c r="J1751" s="13" t="s">
        <v>5694</v>
      </c>
      <c r="K1751" s="12">
        <v>9785961475784</v>
      </c>
      <c r="L1751" s="13" t="s">
        <v>5695</v>
      </c>
      <c r="M1751" s="12">
        <v>48</v>
      </c>
      <c r="N1751" s="14">
        <v>0.34</v>
      </c>
      <c r="O1751" s="12">
        <v>206</v>
      </c>
      <c r="P1751" s="12">
        <v>207</v>
      </c>
      <c r="Q1751" s="12">
        <v>14</v>
      </c>
      <c r="R1751" s="13" t="s">
        <v>167</v>
      </c>
      <c r="S1751" s="13" t="s">
        <v>5551</v>
      </c>
      <c r="T1751" s="15">
        <v>3000</v>
      </c>
      <c r="U1751" s="13" t="s">
        <v>52</v>
      </c>
      <c r="V1751" s="13" t="s">
        <v>269</v>
      </c>
      <c r="W1751" s="12">
        <v>10</v>
      </c>
      <c r="X1751" s="33" t="str">
        <f>HYPERLINK("https://www.alpinabook.ru/catalog/book-bolshe-ne-draznis","ссылка на книгу")</f>
        <v>ссылка на книгу</v>
      </c>
      <c r="Y1751" s="34" t="str">
        <f>HYPERLINK("https://api-enni.alpina.ru/FileCertificateProject/558","https://api-enni.alpina.ru/FileCertificateProject/558")</f>
        <v>https://api-enni.alpina.ru/FileCertificateProject/558</v>
      </c>
      <c r="Z1751" s="13"/>
      <c r="AT1751" s="1">
        <f t="shared" si="334"/>
        <v>0</v>
      </c>
      <c r="AU1751" s="1">
        <f t="shared" si="335"/>
        <v>0</v>
      </c>
      <c r="AV1751" s="1">
        <f t="shared" si="336"/>
        <v>0</v>
      </c>
      <c r="AW1751" s="1">
        <f t="shared" si="337"/>
        <v>0</v>
      </c>
      <c r="AX1751" s="1">
        <f t="shared" si="338"/>
        <v>0</v>
      </c>
    </row>
    <row r="1752" spans="1:50" s="1" customFormat="1" ht="21.95" customHeight="1" outlineLevel="3" x14ac:dyDescent="0.2">
      <c r="A1752" s="11"/>
      <c r="B1752" s="12">
        <v>790</v>
      </c>
      <c r="C1752" s="15">
        <v>1190</v>
      </c>
      <c r="D1752" s="12">
        <v>27835</v>
      </c>
      <c r="E1752" s="13" t="s">
        <v>71</v>
      </c>
      <c r="F1752" s="13" t="s">
        <v>5696</v>
      </c>
      <c r="G1752" s="13" t="s">
        <v>163</v>
      </c>
      <c r="H1752" s="13"/>
      <c r="I1752" s="12">
        <v>2024</v>
      </c>
      <c r="J1752" s="13" t="s">
        <v>5697</v>
      </c>
      <c r="K1752" s="12">
        <v>9785961491203</v>
      </c>
      <c r="L1752" s="13" t="s">
        <v>5698</v>
      </c>
      <c r="M1752" s="12">
        <v>80</v>
      </c>
      <c r="N1752" s="14">
        <v>0.33</v>
      </c>
      <c r="O1752" s="12">
        <v>170</v>
      </c>
      <c r="P1752" s="12">
        <v>240</v>
      </c>
      <c r="Q1752" s="12">
        <v>10</v>
      </c>
      <c r="R1752" s="13" t="s">
        <v>94</v>
      </c>
      <c r="S1752" s="13"/>
      <c r="T1752" s="15">
        <v>3000</v>
      </c>
      <c r="U1752" s="13" t="s">
        <v>52</v>
      </c>
      <c r="V1752" s="13" t="s">
        <v>64</v>
      </c>
      <c r="W1752" s="12">
        <v>10</v>
      </c>
      <c r="X1752" s="33" t="str">
        <f>HYPERLINK("https://www.alpinabook.ru/catalog/book-bukvar-dlya-detey-s-osobennostyami-razvitiya","ссылка на книгу")</f>
        <v>ссылка на книгу</v>
      </c>
      <c r="Y1752" s="34" t="str">
        <f>HYPERLINK("","")</f>
        <v/>
      </c>
      <c r="Z1752" s="13"/>
      <c r="AT1752" s="1">
        <f t="shared" si="334"/>
        <v>0</v>
      </c>
      <c r="AU1752" s="1">
        <f t="shared" si="335"/>
        <v>0</v>
      </c>
      <c r="AV1752" s="1">
        <f t="shared" si="336"/>
        <v>0</v>
      </c>
      <c r="AW1752" s="1">
        <f t="shared" si="337"/>
        <v>0</v>
      </c>
      <c r="AX1752" s="1">
        <f t="shared" si="338"/>
        <v>0</v>
      </c>
    </row>
    <row r="1753" spans="1:50" s="1" customFormat="1" ht="24.95" customHeight="1" outlineLevel="3" x14ac:dyDescent="0.2">
      <c r="A1753" s="11"/>
      <c r="B1753" s="12">
        <v>690</v>
      </c>
      <c r="C1753" s="12">
        <v>990</v>
      </c>
      <c r="D1753" s="12">
        <v>31046</v>
      </c>
      <c r="E1753" s="13" t="s">
        <v>5699</v>
      </c>
      <c r="F1753" s="13" t="s">
        <v>5700</v>
      </c>
      <c r="G1753" s="13" t="s">
        <v>163</v>
      </c>
      <c r="H1753" s="13"/>
      <c r="I1753" s="12">
        <v>2024</v>
      </c>
      <c r="J1753" s="13" t="s">
        <v>5701</v>
      </c>
      <c r="K1753" s="12">
        <v>9785961497380</v>
      </c>
      <c r="L1753" s="13" t="s">
        <v>5702</v>
      </c>
      <c r="M1753" s="12">
        <v>72</v>
      </c>
      <c r="N1753" s="14">
        <v>0.46</v>
      </c>
      <c r="O1753" s="12">
        <v>220</v>
      </c>
      <c r="P1753" s="12">
        <v>290</v>
      </c>
      <c r="Q1753" s="12">
        <v>10</v>
      </c>
      <c r="R1753" s="13" t="s">
        <v>167</v>
      </c>
      <c r="S1753" s="13"/>
      <c r="T1753" s="15">
        <v>2500</v>
      </c>
      <c r="U1753" s="13" t="s">
        <v>52</v>
      </c>
      <c r="V1753" s="13" t="s">
        <v>269</v>
      </c>
      <c r="W1753" s="12">
        <v>10</v>
      </c>
      <c r="X1753" s="33" t="str">
        <f>HYPERLINK("https://www.alpinabook.ru/catalog/book-bukvy-slova-knigi","ссылка на книгу")</f>
        <v>ссылка на книгу</v>
      </c>
      <c r="Y1753" s="34" t="str">
        <f>HYPERLINK("https://api-enni.alpina.ru/FileCertificateProject/504","https://api-enni.alpina.ru/FileCertificateProject/504")</f>
        <v>https://api-enni.alpina.ru/FileCertificateProject/504</v>
      </c>
      <c r="Z1753" s="13"/>
      <c r="AT1753" s="1">
        <f t="shared" si="334"/>
        <v>0</v>
      </c>
      <c r="AU1753" s="1">
        <f t="shared" si="335"/>
        <v>0</v>
      </c>
      <c r="AV1753" s="1">
        <f t="shared" si="336"/>
        <v>0</v>
      </c>
      <c r="AW1753" s="1">
        <f t="shared" si="337"/>
        <v>0</v>
      </c>
      <c r="AX1753" s="1">
        <f t="shared" si="338"/>
        <v>0</v>
      </c>
    </row>
    <row r="1754" spans="1:50" s="1" customFormat="1" ht="24.95" customHeight="1" outlineLevel="3" x14ac:dyDescent="0.2">
      <c r="A1754" s="11"/>
      <c r="B1754" s="12">
        <v>530</v>
      </c>
      <c r="C1754" s="12">
        <v>790</v>
      </c>
      <c r="D1754" s="12">
        <v>31569</v>
      </c>
      <c r="E1754" s="13" t="s">
        <v>5703</v>
      </c>
      <c r="F1754" s="13" t="s">
        <v>5704</v>
      </c>
      <c r="G1754" s="13" t="s">
        <v>163</v>
      </c>
      <c r="H1754" s="13" t="s">
        <v>434</v>
      </c>
      <c r="I1754" s="12">
        <v>2025</v>
      </c>
      <c r="J1754" s="13" t="s">
        <v>5705</v>
      </c>
      <c r="K1754" s="12">
        <v>9785961499254</v>
      </c>
      <c r="L1754" s="13" t="s">
        <v>5706</v>
      </c>
      <c r="M1754" s="12">
        <v>32</v>
      </c>
      <c r="N1754" s="14">
        <v>0.23</v>
      </c>
      <c r="O1754" s="12">
        <v>170</v>
      </c>
      <c r="P1754" s="12">
        <v>220</v>
      </c>
      <c r="Q1754" s="12">
        <v>16</v>
      </c>
      <c r="R1754" s="13" t="s">
        <v>100</v>
      </c>
      <c r="S1754" s="13" t="s">
        <v>5707</v>
      </c>
      <c r="T1754" s="15">
        <v>2000</v>
      </c>
      <c r="U1754" s="13" t="s">
        <v>52</v>
      </c>
      <c r="V1754" s="13" t="s">
        <v>64</v>
      </c>
      <c r="W1754" s="12">
        <v>10</v>
      </c>
      <c r="X1754" s="33" t="str">
        <f>HYPERLINK("https://www.alpinabook.ru/catalog/book-v-sadu-bazilika-kak-kakayut-derevya","ссылка на книгу")</f>
        <v>ссылка на книгу</v>
      </c>
      <c r="Y1754" s="34" t="str">
        <f>HYPERLINK("","")</f>
        <v/>
      </c>
      <c r="Z1754" s="13" t="s">
        <v>1422</v>
      </c>
      <c r="AT1754" s="1">
        <f t="shared" si="334"/>
        <v>0</v>
      </c>
      <c r="AU1754" s="1">
        <f t="shared" si="335"/>
        <v>0</v>
      </c>
      <c r="AV1754" s="1">
        <f t="shared" si="336"/>
        <v>0</v>
      </c>
      <c r="AW1754" s="1">
        <f t="shared" si="337"/>
        <v>0</v>
      </c>
      <c r="AX1754" s="1">
        <f t="shared" si="338"/>
        <v>0</v>
      </c>
    </row>
    <row r="1755" spans="1:50" s="1" customFormat="1" ht="24.95" customHeight="1" outlineLevel="3" x14ac:dyDescent="0.2">
      <c r="A1755" s="11"/>
      <c r="B1755" s="12">
        <v>530</v>
      </c>
      <c r="C1755" s="12">
        <v>790</v>
      </c>
      <c r="D1755" s="12">
        <v>31570</v>
      </c>
      <c r="E1755" s="13" t="s">
        <v>5703</v>
      </c>
      <c r="F1755" s="13" t="s">
        <v>5708</v>
      </c>
      <c r="G1755" s="13" t="s">
        <v>163</v>
      </c>
      <c r="H1755" s="13" t="s">
        <v>434</v>
      </c>
      <c r="I1755" s="12">
        <v>2025</v>
      </c>
      <c r="J1755" s="13" t="s">
        <v>5709</v>
      </c>
      <c r="K1755" s="12">
        <v>9785961499261</v>
      </c>
      <c r="L1755" s="13" t="s">
        <v>5710</v>
      </c>
      <c r="M1755" s="12">
        <v>32</v>
      </c>
      <c r="N1755" s="14">
        <v>0.23</v>
      </c>
      <c r="O1755" s="12">
        <v>180</v>
      </c>
      <c r="P1755" s="12">
        <v>220</v>
      </c>
      <c r="Q1755" s="12">
        <v>16</v>
      </c>
      <c r="R1755" s="13" t="s">
        <v>100</v>
      </c>
      <c r="S1755" s="13" t="s">
        <v>5707</v>
      </c>
      <c r="T1755" s="15">
        <v>2000</v>
      </c>
      <c r="U1755" s="13" t="s">
        <v>52</v>
      </c>
      <c r="V1755" s="13" t="s">
        <v>64</v>
      </c>
      <c r="W1755" s="12">
        <v>10</v>
      </c>
      <c r="X1755" s="33" t="str">
        <f>HYPERLINK("https://www.alpinabook.ru/catalog/book-v-sadu-bazilika-novye-rasteniya","ссылка на книгу")</f>
        <v>ссылка на книгу</v>
      </c>
      <c r="Y1755" s="34" t="str">
        <f>HYPERLINK("","")</f>
        <v/>
      </c>
      <c r="Z1755" s="13" t="s">
        <v>1422</v>
      </c>
      <c r="AT1755" s="1">
        <f t="shared" si="334"/>
        <v>0</v>
      </c>
      <c r="AU1755" s="1">
        <f t="shared" si="335"/>
        <v>0</v>
      </c>
      <c r="AV1755" s="1">
        <f t="shared" si="336"/>
        <v>0</v>
      </c>
      <c r="AW1755" s="1">
        <f t="shared" si="337"/>
        <v>0</v>
      </c>
      <c r="AX1755" s="1">
        <f t="shared" si="338"/>
        <v>0</v>
      </c>
    </row>
    <row r="1756" spans="1:50" s="1" customFormat="1" ht="24.95" customHeight="1" outlineLevel="3" x14ac:dyDescent="0.2">
      <c r="A1756" s="11"/>
      <c r="B1756" s="12">
        <v>530</v>
      </c>
      <c r="C1756" s="12">
        <v>790</v>
      </c>
      <c r="D1756" s="12">
        <v>31573</v>
      </c>
      <c r="E1756" s="13" t="s">
        <v>5703</v>
      </c>
      <c r="F1756" s="13" t="s">
        <v>5711</v>
      </c>
      <c r="G1756" s="13" t="s">
        <v>163</v>
      </c>
      <c r="H1756" s="13" t="s">
        <v>434</v>
      </c>
      <c r="I1756" s="12">
        <v>2025</v>
      </c>
      <c r="J1756" s="13" t="s">
        <v>5712</v>
      </c>
      <c r="K1756" s="12">
        <v>9785961499292</v>
      </c>
      <c r="L1756" s="13" t="s">
        <v>5713</v>
      </c>
      <c r="M1756" s="12">
        <v>32</v>
      </c>
      <c r="N1756" s="14">
        <v>0.23</v>
      </c>
      <c r="O1756" s="12">
        <v>180</v>
      </c>
      <c r="P1756" s="12">
        <v>220</v>
      </c>
      <c r="Q1756" s="12">
        <v>16</v>
      </c>
      <c r="R1756" s="13" t="s">
        <v>100</v>
      </c>
      <c r="S1756" s="13" t="s">
        <v>5707</v>
      </c>
      <c r="T1756" s="15">
        <v>2000</v>
      </c>
      <c r="U1756" s="13" t="s">
        <v>52</v>
      </c>
      <c r="V1756" s="13" t="s">
        <v>64</v>
      </c>
      <c r="W1756" s="12">
        <v>10</v>
      </c>
      <c r="X1756" s="33" t="str">
        <f>HYPERLINK("https://www.alpinabook.ru/catalog/book-v-sadu-bazilika-supersposobnosty","ссылка на книгу")</f>
        <v>ссылка на книгу</v>
      </c>
      <c r="Y1756" s="34" t="str">
        <f>HYPERLINK("","")</f>
        <v/>
      </c>
      <c r="Z1756" s="13" t="s">
        <v>1422</v>
      </c>
      <c r="AT1756" s="1">
        <f t="shared" si="334"/>
        <v>0</v>
      </c>
      <c r="AU1756" s="1">
        <f t="shared" si="335"/>
        <v>0</v>
      </c>
      <c r="AV1756" s="1">
        <f t="shared" si="336"/>
        <v>0</v>
      </c>
      <c r="AW1756" s="1">
        <f t="shared" si="337"/>
        <v>0</v>
      </c>
      <c r="AX1756" s="1">
        <f t="shared" si="338"/>
        <v>0</v>
      </c>
    </row>
    <row r="1757" spans="1:50" s="1" customFormat="1" ht="24.95" customHeight="1" outlineLevel="3" x14ac:dyDescent="0.2">
      <c r="A1757" s="11"/>
      <c r="B1757" s="12">
        <v>530</v>
      </c>
      <c r="C1757" s="12">
        <v>790</v>
      </c>
      <c r="D1757" s="12">
        <v>31571</v>
      </c>
      <c r="E1757" s="13" t="s">
        <v>5703</v>
      </c>
      <c r="F1757" s="13" t="s">
        <v>5714</v>
      </c>
      <c r="G1757" s="13" t="s">
        <v>163</v>
      </c>
      <c r="H1757" s="13" t="s">
        <v>434</v>
      </c>
      <c r="I1757" s="12">
        <v>2025</v>
      </c>
      <c r="J1757" s="13" t="s">
        <v>5715</v>
      </c>
      <c r="K1757" s="12">
        <v>9785961499278</v>
      </c>
      <c r="L1757" s="13" t="s">
        <v>5716</v>
      </c>
      <c r="M1757" s="12">
        <v>32</v>
      </c>
      <c r="N1757" s="14">
        <v>0.23</v>
      </c>
      <c r="O1757" s="12">
        <v>170</v>
      </c>
      <c r="P1757" s="12">
        <v>220</v>
      </c>
      <c r="Q1757" s="12">
        <v>16</v>
      </c>
      <c r="R1757" s="13" t="s">
        <v>100</v>
      </c>
      <c r="S1757" s="13" t="s">
        <v>5707</v>
      </c>
      <c r="T1757" s="15">
        <v>2000</v>
      </c>
      <c r="U1757" s="13" t="s">
        <v>52</v>
      </c>
      <c r="V1757" s="13" t="s">
        <v>64</v>
      </c>
      <c r="W1757" s="12">
        <v>10</v>
      </c>
      <c r="X1757" s="33" t="str">
        <f>HYPERLINK("https://www.alpinabook.ru/catalog/book-v-sadu-bazilika-sornyak","ссылка на книгу")</f>
        <v>ссылка на книгу</v>
      </c>
      <c r="Y1757" s="34" t="str">
        <f>HYPERLINK("","")</f>
        <v/>
      </c>
      <c r="Z1757" s="13" t="s">
        <v>1422</v>
      </c>
      <c r="AT1757" s="1">
        <f t="shared" si="334"/>
        <v>0</v>
      </c>
      <c r="AU1757" s="1">
        <f t="shared" si="335"/>
        <v>0</v>
      </c>
      <c r="AV1757" s="1">
        <f t="shared" si="336"/>
        <v>0</v>
      </c>
      <c r="AW1757" s="1">
        <f t="shared" si="337"/>
        <v>0</v>
      </c>
      <c r="AX1757" s="1">
        <f t="shared" si="338"/>
        <v>0</v>
      </c>
    </row>
    <row r="1758" spans="1:50" s="1" customFormat="1" ht="24.95" customHeight="1" outlineLevel="3" x14ac:dyDescent="0.2">
      <c r="A1758" s="11"/>
      <c r="B1758" s="12">
        <v>530</v>
      </c>
      <c r="C1758" s="12">
        <v>790</v>
      </c>
      <c r="D1758" s="12">
        <v>31572</v>
      </c>
      <c r="E1758" s="13" t="s">
        <v>5703</v>
      </c>
      <c r="F1758" s="13" t="s">
        <v>5717</v>
      </c>
      <c r="G1758" s="13" t="s">
        <v>163</v>
      </c>
      <c r="H1758" s="13" t="s">
        <v>434</v>
      </c>
      <c r="I1758" s="12">
        <v>2025</v>
      </c>
      <c r="J1758" s="13" t="s">
        <v>5718</v>
      </c>
      <c r="K1758" s="12">
        <v>9785961499285</v>
      </c>
      <c r="L1758" s="13" t="s">
        <v>5719</v>
      </c>
      <c r="M1758" s="12">
        <v>32</v>
      </c>
      <c r="N1758" s="14">
        <v>0.23</v>
      </c>
      <c r="O1758" s="12">
        <v>180</v>
      </c>
      <c r="P1758" s="12">
        <v>220</v>
      </c>
      <c r="Q1758" s="12">
        <v>16</v>
      </c>
      <c r="R1758" s="13" t="s">
        <v>100</v>
      </c>
      <c r="S1758" s="13" t="s">
        <v>5707</v>
      </c>
      <c r="T1758" s="15">
        <v>2000</v>
      </c>
      <c r="U1758" s="13" t="s">
        <v>52</v>
      </c>
      <c r="V1758" s="13" t="s">
        <v>64</v>
      </c>
      <c r="W1758" s="12">
        <v>10</v>
      </c>
      <c r="X1758" s="33" t="str">
        <f>HYPERLINK("https://www.alpinabook.ru/catalog/book-v-sadu-bazilika-umeyut-li-lyubit","ссылка на книгу")</f>
        <v>ссылка на книгу</v>
      </c>
      <c r="Y1758" s="34" t="str">
        <f>HYPERLINK("","")</f>
        <v/>
      </c>
      <c r="Z1758" s="13" t="s">
        <v>1422</v>
      </c>
      <c r="AT1758" s="1">
        <f t="shared" si="334"/>
        <v>0</v>
      </c>
      <c r="AU1758" s="1">
        <f t="shared" si="335"/>
        <v>0</v>
      </c>
      <c r="AV1758" s="1">
        <f t="shared" si="336"/>
        <v>0</v>
      </c>
      <c r="AW1758" s="1">
        <f t="shared" si="337"/>
        <v>0</v>
      </c>
      <c r="AX1758" s="1">
        <f t="shared" si="338"/>
        <v>0</v>
      </c>
    </row>
    <row r="1759" spans="1:50" s="1" customFormat="1" ht="24.95" customHeight="1" outlineLevel="3" x14ac:dyDescent="0.2">
      <c r="A1759" s="26"/>
      <c r="B1759" s="27">
        <v>540</v>
      </c>
      <c r="C1759" s="27">
        <v>790</v>
      </c>
      <c r="D1759" s="27">
        <v>24043</v>
      </c>
      <c r="E1759" s="29" t="s">
        <v>5720</v>
      </c>
      <c r="F1759" s="29" t="s">
        <v>5721</v>
      </c>
      <c r="G1759" s="29" t="s">
        <v>163</v>
      </c>
      <c r="H1759" s="29"/>
      <c r="I1759" s="27">
        <v>2022</v>
      </c>
      <c r="J1759" s="29" t="s">
        <v>5722</v>
      </c>
      <c r="K1759" s="27">
        <v>9785961478396</v>
      </c>
      <c r="L1759" s="29" t="s">
        <v>5723</v>
      </c>
      <c r="M1759" s="27">
        <v>25</v>
      </c>
      <c r="N1759" s="30">
        <v>0.36</v>
      </c>
      <c r="O1759" s="27">
        <v>211</v>
      </c>
      <c r="P1759" s="27">
        <v>296</v>
      </c>
      <c r="Q1759" s="27">
        <v>15</v>
      </c>
      <c r="R1759" s="29" t="s">
        <v>300</v>
      </c>
      <c r="S1759" s="29"/>
      <c r="T1759" s="28">
        <v>1000</v>
      </c>
      <c r="U1759" s="29" t="s">
        <v>52</v>
      </c>
      <c r="V1759" s="29" t="s">
        <v>269</v>
      </c>
      <c r="W1759" s="27">
        <v>10</v>
      </c>
      <c r="X1759" s="37" t="str">
        <f>HYPERLINK("https://www.alpinabook.ru/catalog/book-velikie-otkrytiya-igrushek","ссылка на книгу")</f>
        <v>ссылка на книгу</v>
      </c>
      <c r="Y1759" s="38" t="str">
        <f>HYPERLINK("https://api-enni.alpina.ru/FileCertificateProject/240","https://api-enni.alpina.ru/FileCertificateProject/240")</f>
        <v>https://api-enni.alpina.ru/FileCertificateProject/240</v>
      </c>
      <c r="Z1759" s="29"/>
      <c r="AT1759" s="1">
        <f t="shared" si="334"/>
        <v>0</v>
      </c>
      <c r="AU1759" s="1">
        <f t="shared" si="335"/>
        <v>0</v>
      </c>
      <c r="AV1759" s="1">
        <f t="shared" si="336"/>
        <v>0</v>
      </c>
      <c r="AW1759" s="1">
        <f t="shared" si="337"/>
        <v>0</v>
      </c>
      <c r="AX1759" s="1">
        <f t="shared" si="338"/>
        <v>0</v>
      </c>
    </row>
    <row r="1760" spans="1:50" s="1" customFormat="1" ht="21.95" customHeight="1" outlineLevel="3" x14ac:dyDescent="0.2">
      <c r="A1760" s="26"/>
      <c r="B1760" s="27">
        <v>540</v>
      </c>
      <c r="C1760" s="27">
        <v>790</v>
      </c>
      <c r="D1760" s="27">
        <v>28488</v>
      </c>
      <c r="E1760" s="29" t="s">
        <v>5724</v>
      </c>
      <c r="F1760" s="29" t="s">
        <v>5725</v>
      </c>
      <c r="G1760" s="29" t="s">
        <v>163</v>
      </c>
      <c r="H1760" s="29"/>
      <c r="I1760" s="27">
        <v>2023</v>
      </c>
      <c r="J1760" s="29" t="s">
        <v>5726</v>
      </c>
      <c r="K1760" s="27">
        <v>9785961489156</v>
      </c>
      <c r="L1760" s="29" t="s">
        <v>5727</v>
      </c>
      <c r="M1760" s="27">
        <v>48</v>
      </c>
      <c r="N1760" s="30">
        <v>0.42</v>
      </c>
      <c r="O1760" s="27">
        <v>210</v>
      </c>
      <c r="P1760" s="27">
        <v>300</v>
      </c>
      <c r="Q1760" s="27">
        <v>14</v>
      </c>
      <c r="R1760" s="29" t="s">
        <v>94</v>
      </c>
      <c r="S1760" s="29"/>
      <c r="T1760" s="28">
        <v>1200</v>
      </c>
      <c r="U1760" s="29" t="s">
        <v>52</v>
      </c>
      <c r="V1760" s="29" t="s">
        <v>5626</v>
      </c>
      <c r="W1760" s="27">
        <v>10</v>
      </c>
      <c r="X1760" s="37" t="str">
        <f>HYPERLINK("https://www.alpinabook.ru/catalog/book-volshebnye-bashmachki","ссылка на книгу")</f>
        <v>ссылка на книгу</v>
      </c>
      <c r="Y1760" s="38" t="str">
        <f>HYPERLINK("","")</f>
        <v/>
      </c>
      <c r="Z1760" s="29"/>
      <c r="AT1760" s="1">
        <f t="shared" si="334"/>
        <v>0</v>
      </c>
      <c r="AU1760" s="1">
        <f t="shared" si="335"/>
        <v>0</v>
      </c>
      <c r="AV1760" s="1">
        <f t="shared" si="336"/>
        <v>0</v>
      </c>
      <c r="AW1760" s="1">
        <f t="shared" si="337"/>
        <v>0</v>
      </c>
      <c r="AX1760" s="1">
        <f t="shared" si="338"/>
        <v>0</v>
      </c>
    </row>
    <row r="1761" spans="1:50" s="1" customFormat="1" ht="24.95" customHeight="1" outlineLevel="3" x14ac:dyDescent="0.2">
      <c r="A1761" s="11"/>
      <c r="B1761" s="12">
        <v>450</v>
      </c>
      <c r="C1761" s="12">
        <v>690</v>
      </c>
      <c r="D1761" s="12">
        <v>23952</v>
      </c>
      <c r="E1761" s="13" t="s">
        <v>5728</v>
      </c>
      <c r="F1761" s="13" t="s">
        <v>5729</v>
      </c>
      <c r="G1761" s="13" t="s">
        <v>163</v>
      </c>
      <c r="H1761" s="13"/>
      <c r="I1761" s="12">
        <v>2022</v>
      </c>
      <c r="J1761" s="13" t="s">
        <v>5730</v>
      </c>
      <c r="K1761" s="12">
        <v>9785961473971</v>
      </c>
      <c r="L1761" s="13" t="s">
        <v>5731</v>
      </c>
      <c r="M1761" s="12">
        <v>40</v>
      </c>
      <c r="N1761" s="14">
        <v>0.22</v>
      </c>
      <c r="O1761" s="12">
        <v>169</v>
      </c>
      <c r="P1761" s="12">
        <v>222</v>
      </c>
      <c r="Q1761" s="12">
        <v>18</v>
      </c>
      <c r="R1761" s="13" t="s">
        <v>100</v>
      </c>
      <c r="S1761" s="13" t="s">
        <v>5732</v>
      </c>
      <c r="T1761" s="15">
        <v>3000</v>
      </c>
      <c r="U1761" s="13" t="s">
        <v>52</v>
      </c>
      <c r="V1761" s="13" t="s">
        <v>269</v>
      </c>
      <c r="W1761" s="12">
        <v>10</v>
      </c>
      <c r="X1761" s="33" t="str">
        <f>HYPERLINK("https://www.alpinabook.ru/catalog/book-volshebnye-kamni-baasa","ссылка на книгу")</f>
        <v>ссылка на книгу</v>
      </c>
      <c r="Y1761" s="34" t="str">
        <f>HYPERLINK("https://api-enni.alpina.ru/FileCertificateProject/227","https://api-enni.alpina.ru/FileCertificateProject/227")</f>
        <v>https://api-enni.alpina.ru/FileCertificateProject/227</v>
      </c>
      <c r="Z1761" s="13"/>
      <c r="AT1761" s="1">
        <f t="shared" si="334"/>
        <v>0</v>
      </c>
      <c r="AU1761" s="1">
        <f t="shared" si="335"/>
        <v>0</v>
      </c>
      <c r="AV1761" s="1">
        <f t="shared" si="336"/>
        <v>0</v>
      </c>
      <c r="AW1761" s="1">
        <f t="shared" si="337"/>
        <v>0</v>
      </c>
      <c r="AX1761" s="1">
        <f t="shared" si="338"/>
        <v>0</v>
      </c>
    </row>
    <row r="1762" spans="1:50" s="1" customFormat="1" ht="24.95" customHeight="1" outlineLevel="3" x14ac:dyDescent="0.2">
      <c r="A1762" s="11"/>
      <c r="B1762" s="12">
        <v>590</v>
      </c>
      <c r="C1762" s="12">
        <v>840</v>
      </c>
      <c r="D1762" s="12">
        <v>30707</v>
      </c>
      <c r="E1762" s="13" t="s">
        <v>5733</v>
      </c>
      <c r="F1762" s="13" t="s">
        <v>5734</v>
      </c>
      <c r="G1762" s="13" t="s">
        <v>163</v>
      </c>
      <c r="H1762" s="13"/>
      <c r="I1762" s="12">
        <v>2024</v>
      </c>
      <c r="J1762" s="13" t="s">
        <v>5735</v>
      </c>
      <c r="K1762" s="12">
        <v>9785961496215</v>
      </c>
      <c r="L1762" s="13" t="s">
        <v>5736</v>
      </c>
      <c r="M1762" s="12">
        <v>80</v>
      </c>
      <c r="N1762" s="14">
        <v>0.34</v>
      </c>
      <c r="O1762" s="12">
        <v>170</v>
      </c>
      <c r="P1762" s="12">
        <v>240</v>
      </c>
      <c r="Q1762" s="12">
        <v>12</v>
      </c>
      <c r="R1762" s="13" t="s">
        <v>94</v>
      </c>
      <c r="S1762" s="13"/>
      <c r="T1762" s="15">
        <v>5000</v>
      </c>
      <c r="U1762" s="13" t="s">
        <v>52</v>
      </c>
      <c r="V1762" s="13" t="s">
        <v>269</v>
      </c>
      <c r="W1762" s="12">
        <v>10</v>
      </c>
      <c r="X1762" s="33" t="str">
        <f>HYPERLINK("https://www.alpinabook.ru/catalog/book-volshebnye-konki","ссылка на книгу")</f>
        <v>ссылка на книгу</v>
      </c>
      <c r="Y1762" s="34" t="str">
        <f>HYPERLINK("https://api-enni.alpina.ru/FileCertificateProject/484","https://api-enni.alpina.ru/FileCertificateProject/484")</f>
        <v>https://api-enni.alpina.ru/FileCertificateProject/484</v>
      </c>
      <c r="Z1762" s="13"/>
      <c r="AT1762" s="1">
        <f t="shared" si="334"/>
        <v>0</v>
      </c>
      <c r="AU1762" s="1">
        <f t="shared" si="335"/>
        <v>0</v>
      </c>
      <c r="AV1762" s="1">
        <f t="shared" si="336"/>
        <v>0</v>
      </c>
      <c r="AW1762" s="1">
        <f t="shared" si="337"/>
        <v>0</v>
      </c>
      <c r="AX1762" s="1">
        <f t="shared" si="338"/>
        <v>0</v>
      </c>
    </row>
    <row r="1763" spans="1:50" s="1" customFormat="1" ht="24.95" customHeight="1" outlineLevel="3" x14ac:dyDescent="0.2">
      <c r="A1763" s="11"/>
      <c r="B1763" s="12">
        <v>540</v>
      </c>
      <c r="C1763" s="12">
        <v>540</v>
      </c>
      <c r="D1763" s="12">
        <v>23544</v>
      </c>
      <c r="E1763" s="13" t="s">
        <v>5737</v>
      </c>
      <c r="F1763" s="13" t="s">
        <v>5738</v>
      </c>
      <c r="G1763" s="13" t="s">
        <v>163</v>
      </c>
      <c r="H1763" s="13"/>
      <c r="I1763" s="12">
        <v>2022</v>
      </c>
      <c r="J1763" s="13" t="s">
        <v>5739</v>
      </c>
      <c r="K1763" s="12">
        <v>9785961473025</v>
      </c>
      <c r="L1763" s="13" t="s">
        <v>5740</v>
      </c>
      <c r="M1763" s="12">
        <v>158</v>
      </c>
      <c r="N1763" s="14">
        <v>0.31</v>
      </c>
      <c r="O1763" s="12">
        <v>146</v>
      </c>
      <c r="P1763" s="12">
        <v>216</v>
      </c>
      <c r="Q1763" s="12">
        <v>16</v>
      </c>
      <c r="R1763" s="13" t="s">
        <v>43</v>
      </c>
      <c r="S1763" s="13"/>
      <c r="T1763" s="15">
        <v>5000</v>
      </c>
      <c r="U1763" s="13" t="s">
        <v>52</v>
      </c>
      <c r="V1763" s="13" t="s">
        <v>269</v>
      </c>
      <c r="W1763" s="12">
        <v>10</v>
      </c>
      <c r="X1763" s="33" t="str">
        <f>HYPERLINK("https://www.alpinabook.ru/catalog/book-vot-sobaka","ссылка на книгу")</f>
        <v>ссылка на книгу</v>
      </c>
      <c r="Y1763" s="34" t="str">
        <f>HYPERLINK("https://api-enni.alpina.ru/FileCertificateProject/188","https://api-enni.alpina.ru/FileCertificateProject/188")</f>
        <v>https://api-enni.alpina.ru/FileCertificateProject/188</v>
      </c>
      <c r="Z1763" s="13"/>
      <c r="AT1763" s="1">
        <f t="shared" si="334"/>
        <v>0</v>
      </c>
      <c r="AU1763" s="1">
        <f t="shared" si="335"/>
        <v>0</v>
      </c>
      <c r="AV1763" s="1">
        <f t="shared" si="336"/>
        <v>0</v>
      </c>
      <c r="AW1763" s="1">
        <f t="shared" si="337"/>
        <v>0</v>
      </c>
      <c r="AX1763" s="1">
        <f t="shared" si="338"/>
        <v>0</v>
      </c>
    </row>
    <row r="1764" spans="1:50" s="1" customFormat="1" ht="24.95" customHeight="1" outlineLevel="3" x14ac:dyDescent="0.2">
      <c r="A1764" s="11"/>
      <c r="B1764" s="12">
        <v>290</v>
      </c>
      <c r="C1764" s="12">
        <v>290</v>
      </c>
      <c r="D1764" s="12">
        <v>20994</v>
      </c>
      <c r="E1764" s="13" t="s">
        <v>5741</v>
      </c>
      <c r="F1764" s="13" t="s">
        <v>5742</v>
      </c>
      <c r="G1764" s="13" t="s">
        <v>163</v>
      </c>
      <c r="H1764" s="13"/>
      <c r="I1764" s="12">
        <v>2021</v>
      </c>
      <c r="J1764" s="13" t="s">
        <v>5743</v>
      </c>
      <c r="K1764" s="12">
        <v>9785961471625</v>
      </c>
      <c r="L1764" s="13" t="s">
        <v>5744</v>
      </c>
      <c r="M1764" s="12">
        <v>32</v>
      </c>
      <c r="N1764" s="14">
        <v>0.21</v>
      </c>
      <c r="O1764" s="12">
        <v>168</v>
      </c>
      <c r="P1764" s="12">
        <v>216</v>
      </c>
      <c r="Q1764" s="12">
        <v>20</v>
      </c>
      <c r="R1764" s="13" t="s">
        <v>100</v>
      </c>
      <c r="S1764" s="13"/>
      <c r="T1764" s="15">
        <v>2000</v>
      </c>
      <c r="U1764" s="13" t="s">
        <v>52</v>
      </c>
      <c r="V1764" s="13" t="s">
        <v>64</v>
      </c>
      <c r="W1764" s="12">
        <v>10</v>
      </c>
      <c r="X1764" s="33" t="str">
        <f>HYPERLINK("https://www.alpinabook.ru/catalog/book-706347","ссылка на книгу")</f>
        <v>ссылка на книгу</v>
      </c>
      <c r="Y1764" s="34" t="str">
        <f>HYPERLINK("https://api-enni.alpina.ru/FileCertificateProject/142","https://api-enni.alpina.ru/FileCertificateProject/142")</f>
        <v>https://api-enni.alpina.ru/FileCertificateProject/142</v>
      </c>
      <c r="Z1764" s="13"/>
      <c r="AT1764" s="1">
        <f t="shared" si="334"/>
        <v>0</v>
      </c>
      <c r="AU1764" s="1">
        <f t="shared" si="335"/>
        <v>0</v>
      </c>
      <c r="AV1764" s="1">
        <f t="shared" si="336"/>
        <v>0</v>
      </c>
      <c r="AW1764" s="1">
        <f t="shared" si="337"/>
        <v>0</v>
      </c>
      <c r="AX1764" s="1">
        <f t="shared" si="338"/>
        <v>0</v>
      </c>
    </row>
    <row r="1765" spans="1:50" s="1" customFormat="1" ht="24.95" customHeight="1" outlineLevel="3" x14ac:dyDescent="0.2">
      <c r="A1765" s="11"/>
      <c r="B1765" s="12">
        <v>490</v>
      </c>
      <c r="C1765" s="12">
        <v>740</v>
      </c>
      <c r="D1765" s="12">
        <v>26585</v>
      </c>
      <c r="E1765" s="13" t="s">
        <v>5745</v>
      </c>
      <c r="F1765" s="13" t="s">
        <v>5746</v>
      </c>
      <c r="G1765" s="13" t="s">
        <v>163</v>
      </c>
      <c r="H1765" s="13"/>
      <c r="I1765" s="12">
        <v>2023</v>
      </c>
      <c r="J1765" s="13" t="s">
        <v>5747</v>
      </c>
      <c r="K1765" s="12">
        <v>9785961482324</v>
      </c>
      <c r="L1765" s="13" t="s">
        <v>5748</v>
      </c>
      <c r="M1765" s="12">
        <v>80</v>
      </c>
      <c r="N1765" s="14">
        <v>0.32</v>
      </c>
      <c r="O1765" s="12">
        <v>170</v>
      </c>
      <c r="P1765" s="12">
        <v>240</v>
      </c>
      <c r="Q1765" s="12">
        <v>14</v>
      </c>
      <c r="R1765" s="13" t="s">
        <v>94</v>
      </c>
      <c r="S1765" s="13"/>
      <c r="T1765" s="15">
        <v>2000</v>
      </c>
      <c r="U1765" s="13" t="s">
        <v>52</v>
      </c>
      <c r="V1765" s="13" t="s">
        <v>269</v>
      </c>
      <c r="W1765" s="12">
        <v>10</v>
      </c>
      <c r="X1765" s="33" t="str">
        <f>HYPERLINK("https://www.alpinabook.ru/catalog/book-gennadiy-tumanovich-i-drugie-oblaka","ссылка на книгу")</f>
        <v>ссылка на книгу</v>
      </c>
      <c r="Y1765" s="34" t="str">
        <f>HYPERLINK("https://api-enni.alpina.ru/FileCertificateProject/55","https://api-enni.alpina.ru/FileCertificateProject/55")</f>
        <v>https://api-enni.alpina.ru/FileCertificateProject/55</v>
      </c>
      <c r="Z1765" s="13"/>
      <c r="AT1765" s="1">
        <f t="shared" si="334"/>
        <v>0</v>
      </c>
      <c r="AU1765" s="1">
        <f t="shared" si="335"/>
        <v>0</v>
      </c>
      <c r="AV1765" s="1">
        <f t="shared" si="336"/>
        <v>0</v>
      </c>
      <c r="AW1765" s="1">
        <f t="shared" si="337"/>
        <v>0</v>
      </c>
      <c r="AX1765" s="1">
        <f t="shared" si="338"/>
        <v>0</v>
      </c>
    </row>
    <row r="1766" spans="1:50" s="1" customFormat="1" ht="24.95" customHeight="1" outlineLevel="3" x14ac:dyDescent="0.2">
      <c r="A1766" s="11"/>
      <c r="B1766" s="12">
        <v>540</v>
      </c>
      <c r="C1766" s="12">
        <v>790</v>
      </c>
      <c r="D1766" s="12">
        <v>30739</v>
      </c>
      <c r="E1766" s="13" t="s">
        <v>5749</v>
      </c>
      <c r="F1766" s="13" t="s">
        <v>5750</v>
      </c>
      <c r="G1766" s="13" t="s">
        <v>163</v>
      </c>
      <c r="H1766" s="13"/>
      <c r="I1766" s="12">
        <v>2024</v>
      </c>
      <c r="J1766" s="13" t="s">
        <v>5751</v>
      </c>
      <c r="K1766" s="12">
        <v>9785961496376</v>
      </c>
      <c r="L1766" s="13" t="s">
        <v>5752</v>
      </c>
      <c r="M1766" s="12">
        <v>88</v>
      </c>
      <c r="N1766" s="14">
        <v>0.28999999999999998</v>
      </c>
      <c r="O1766" s="12">
        <v>200</v>
      </c>
      <c r="P1766" s="12">
        <v>250</v>
      </c>
      <c r="Q1766" s="12">
        <v>16</v>
      </c>
      <c r="R1766" s="13" t="s">
        <v>300</v>
      </c>
      <c r="S1766" s="13" t="s">
        <v>5753</v>
      </c>
      <c r="T1766" s="15">
        <v>2000</v>
      </c>
      <c r="U1766" s="13" t="s">
        <v>44</v>
      </c>
      <c r="V1766" s="13" t="s">
        <v>269</v>
      </c>
      <c r="W1766" s="12">
        <v>10</v>
      </c>
      <c r="X1766" s="33" t="str">
        <f>HYPERLINK("https://www.alpinabook.ru/catalog/book-den-zimnego-solntsestoyaniya","ссылка на книгу")</f>
        <v>ссылка на книгу</v>
      </c>
      <c r="Y1766" s="34" t="str">
        <f>HYPERLINK("https://api-enni.alpina.ru/FileCertificateProject/740","https://api-enni.alpina.ru/FileCertificateProject/740")</f>
        <v>https://api-enni.alpina.ru/FileCertificateProject/740</v>
      </c>
      <c r="Z1766" s="13"/>
      <c r="AT1766" s="1">
        <f t="shared" si="334"/>
        <v>0</v>
      </c>
      <c r="AU1766" s="1">
        <f t="shared" si="335"/>
        <v>0</v>
      </c>
      <c r="AV1766" s="1">
        <f t="shared" si="336"/>
        <v>0</v>
      </c>
      <c r="AW1766" s="1">
        <f t="shared" si="337"/>
        <v>0</v>
      </c>
      <c r="AX1766" s="1">
        <f t="shared" si="338"/>
        <v>0</v>
      </c>
    </row>
    <row r="1767" spans="1:50" s="1" customFormat="1" ht="24.95" customHeight="1" outlineLevel="3" x14ac:dyDescent="0.2">
      <c r="A1767" s="11"/>
      <c r="B1767" s="12">
        <v>640</v>
      </c>
      <c r="C1767" s="12">
        <v>940</v>
      </c>
      <c r="D1767" s="12">
        <v>29163</v>
      </c>
      <c r="E1767" s="13" t="s">
        <v>5587</v>
      </c>
      <c r="F1767" s="13" t="s">
        <v>5754</v>
      </c>
      <c r="G1767" s="13" t="s">
        <v>163</v>
      </c>
      <c r="H1767" s="13"/>
      <c r="I1767" s="12">
        <v>2025</v>
      </c>
      <c r="J1767" s="13" t="s">
        <v>5755</v>
      </c>
      <c r="K1767" s="12">
        <v>9785961491692</v>
      </c>
      <c r="L1767" s="13" t="s">
        <v>5756</v>
      </c>
      <c r="M1767" s="12">
        <v>56</v>
      </c>
      <c r="N1767" s="14">
        <v>0.3</v>
      </c>
      <c r="O1767" s="12">
        <v>170</v>
      </c>
      <c r="P1767" s="12">
        <v>240</v>
      </c>
      <c r="Q1767" s="12">
        <v>16</v>
      </c>
      <c r="R1767" s="13" t="s">
        <v>94</v>
      </c>
      <c r="S1767" s="13"/>
      <c r="T1767" s="15">
        <v>3000</v>
      </c>
      <c r="U1767" s="13" t="s">
        <v>52</v>
      </c>
      <c r="V1767" s="13" t="s">
        <v>269</v>
      </c>
      <c r="W1767" s="12">
        <v>10</v>
      </c>
      <c r="X1767" s="33" t="str">
        <f>HYPERLINK("https://www.alpinabook.ru/catalog/book-domashka-eto-prosto","ссылка на книгу")</f>
        <v>ссылка на книгу</v>
      </c>
      <c r="Y1767" s="34" t="str">
        <f>HYPERLINK("https://api-enni.alpina.ru/FileCertificateProject/386","https://api-enni.alpina.ru/FileCertificateProject/386")</f>
        <v>https://api-enni.alpina.ru/FileCertificateProject/386</v>
      </c>
      <c r="Z1767" s="13" t="s">
        <v>5757</v>
      </c>
      <c r="AT1767" s="1">
        <f t="shared" si="334"/>
        <v>0</v>
      </c>
      <c r="AU1767" s="1">
        <f t="shared" si="335"/>
        <v>0</v>
      </c>
      <c r="AV1767" s="1">
        <f t="shared" si="336"/>
        <v>0</v>
      </c>
      <c r="AW1767" s="1">
        <f t="shared" si="337"/>
        <v>0</v>
      </c>
      <c r="AX1767" s="1">
        <f t="shared" si="338"/>
        <v>0</v>
      </c>
    </row>
    <row r="1768" spans="1:50" s="1" customFormat="1" ht="24.95" customHeight="1" outlineLevel="3" x14ac:dyDescent="0.2">
      <c r="A1768" s="11"/>
      <c r="B1768" s="12">
        <v>390</v>
      </c>
      <c r="C1768" s="12">
        <v>640</v>
      </c>
      <c r="D1768" s="12">
        <v>23957</v>
      </c>
      <c r="E1768" s="13" t="s">
        <v>5547</v>
      </c>
      <c r="F1768" s="13" t="s">
        <v>5758</v>
      </c>
      <c r="G1768" s="13" t="s">
        <v>163</v>
      </c>
      <c r="H1768" s="13" t="s">
        <v>40</v>
      </c>
      <c r="I1768" s="12">
        <v>2023</v>
      </c>
      <c r="J1768" s="13" t="s">
        <v>5759</v>
      </c>
      <c r="K1768" s="12">
        <v>9785961485691</v>
      </c>
      <c r="L1768" s="13" t="s">
        <v>5760</v>
      </c>
      <c r="M1768" s="12">
        <v>48</v>
      </c>
      <c r="N1768" s="14">
        <v>0.3</v>
      </c>
      <c r="O1768" s="12">
        <v>210</v>
      </c>
      <c r="P1768" s="12">
        <v>210</v>
      </c>
      <c r="Q1768" s="12">
        <v>15</v>
      </c>
      <c r="R1768" s="13" t="s">
        <v>167</v>
      </c>
      <c r="S1768" s="13" t="s">
        <v>5551</v>
      </c>
      <c r="T1768" s="15">
        <v>3000</v>
      </c>
      <c r="U1768" s="13" t="s">
        <v>52</v>
      </c>
      <c r="V1768" s="13" t="s">
        <v>5626</v>
      </c>
      <c r="W1768" s="12">
        <v>10</v>
      </c>
      <c r="X1768" s="33" t="str">
        <f>HYPERLINK("https://www.alpinabook.ru/catalog/book-druzhba-posle-ssory","ссылка на книгу")</f>
        <v>ссылка на книгу</v>
      </c>
      <c r="Y1768" s="34" t="str">
        <f>HYPERLINK("https://api-enni.alpina.ru/FileCertificateProject/229","https://api-enni.alpina.ru/FileCertificateProject/229")</f>
        <v>https://api-enni.alpina.ru/FileCertificateProject/229</v>
      </c>
      <c r="Z1768" s="13"/>
      <c r="AT1768" s="1">
        <f t="shared" si="334"/>
        <v>0</v>
      </c>
      <c r="AU1768" s="1">
        <f t="shared" si="335"/>
        <v>0</v>
      </c>
      <c r="AV1768" s="1">
        <f t="shared" si="336"/>
        <v>0</v>
      </c>
      <c r="AW1768" s="1">
        <f t="shared" si="337"/>
        <v>0</v>
      </c>
      <c r="AX1768" s="1">
        <f t="shared" si="338"/>
        <v>0</v>
      </c>
    </row>
    <row r="1769" spans="1:50" s="1" customFormat="1" ht="21.95" customHeight="1" outlineLevel="3" x14ac:dyDescent="0.2">
      <c r="A1769" s="11"/>
      <c r="B1769" s="12">
        <v>650</v>
      </c>
      <c r="C1769" s="12">
        <v>940</v>
      </c>
      <c r="D1769" s="12">
        <v>29502</v>
      </c>
      <c r="E1769" s="13" t="s">
        <v>5761</v>
      </c>
      <c r="F1769" s="13" t="s">
        <v>5762</v>
      </c>
      <c r="G1769" s="13" t="s">
        <v>163</v>
      </c>
      <c r="H1769" s="13" t="s">
        <v>236</v>
      </c>
      <c r="I1769" s="12">
        <v>2024</v>
      </c>
      <c r="J1769" s="13" t="s">
        <v>5763</v>
      </c>
      <c r="K1769" s="12">
        <v>9785961492866</v>
      </c>
      <c r="L1769" s="13" t="s">
        <v>5764</v>
      </c>
      <c r="M1769" s="12">
        <v>48</v>
      </c>
      <c r="N1769" s="14">
        <v>0.39</v>
      </c>
      <c r="O1769" s="12">
        <v>210</v>
      </c>
      <c r="P1769" s="12">
        <v>290</v>
      </c>
      <c r="Q1769" s="12">
        <v>16</v>
      </c>
      <c r="R1769" s="13" t="s">
        <v>167</v>
      </c>
      <c r="S1769" s="13"/>
      <c r="T1769" s="15">
        <v>2000</v>
      </c>
      <c r="U1769" s="13" t="s">
        <v>52</v>
      </c>
      <c r="V1769" s="13" t="s">
        <v>64</v>
      </c>
      <c r="W1769" s="12">
        <v>10</v>
      </c>
      <c r="X1769" s="33" t="str">
        <f>HYPERLINK("https://www.alpinabook.ru/catalog/book-esli-plakat-kak-fontan","ссылка на книгу")</f>
        <v>ссылка на книгу</v>
      </c>
      <c r="Y1769" s="34" t="str">
        <f t="shared" ref="Y1769:Y1774" si="339">HYPERLINK("","")</f>
        <v/>
      </c>
      <c r="Z1769" s="13"/>
      <c r="AT1769" s="1">
        <f t="shared" si="334"/>
        <v>0</v>
      </c>
      <c r="AU1769" s="1">
        <f t="shared" si="335"/>
        <v>0</v>
      </c>
      <c r="AV1769" s="1">
        <f t="shared" si="336"/>
        <v>0</v>
      </c>
      <c r="AW1769" s="1">
        <f t="shared" si="337"/>
        <v>0</v>
      </c>
      <c r="AX1769" s="1">
        <f t="shared" si="338"/>
        <v>0</v>
      </c>
    </row>
    <row r="1770" spans="1:50" s="1" customFormat="1" ht="21.95" customHeight="1" outlineLevel="3" x14ac:dyDescent="0.2">
      <c r="A1770" s="11"/>
      <c r="B1770" s="12">
        <v>540</v>
      </c>
      <c r="C1770" s="12">
        <v>790</v>
      </c>
      <c r="D1770" s="12">
        <v>29503</v>
      </c>
      <c r="E1770" s="13" t="s">
        <v>5749</v>
      </c>
      <c r="F1770" s="13" t="s">
        <v>5765</v>
      </c>
      <c r="G1770" s="13" t="s">
        <v>163</v>
      </c>
      <c r="H1770" s="13"/>
      <c r="I1770" s="12">
        <v>2024</v>
      </c>
      <c r="J1770" s="13" t="s">
        <v>5766</v>
      </c>
      <c r="K1770" s="12">
        <v>9785961492873</v>
      </c>
      <c r="L1770" s="13" t="s">
        <v>5767</v>
      </c>
      <c r="M1770" s="12">
        <v>96</v>
      </c>
      <c r="N1770" s="14">
        <v>0.27</v>
      </c>
      <c r="O1770" s="12">
        <v>200</v>
      </c>
      <c r="P1770" s="12">
        <v>260</v>
      </c>
      <c r="Q1770" s="12">
        <v>20</v>
      </c>
      <c r="R1770" s="13" t="s">
        <v>300</v>
      </c>
      <c r="S1770" s="13" t="s">
        <v>5753</v>
      </c>
      <c r="T1770" s="15">
        <v>2000</v>
      </c>
      <c r="U1770" s="13" t="s">
        <v>44</v>
      </c>
      <c r="V1770" s="13" t="s">
        <v>269</v>
      </c>
      <c r="W1770" s="12">
        <v>10</v>
      </c>
      <c r="X1770" s="33" t="str">
        <f>HYPERLINK("https://www.alpinabook.ru/catalog/book-esli-ty-prevrashchaeshsya-v-mysh","ссылка на книгу")</f>
        <v>ссылка на книгу</v>
      </c>
      <c r="Y1770" s="34" t="str">
        <f t="shared" si="339"/>
        <v/>
      </c>
      <c r="Z1770" s="13"/>
      <c r="AT1770" s="1">
        <f t="shared" si="334"/>
        <v>0</v>
      </c>
      <c r="AU1770" s="1">
        <f t="shared" si="335"/>
        <v>0</v>
      </c>
      <c r="AV1770" s="1">
        <f t="shared" si="336"/>
        <v>0</v>
      </c>
      <c r="AW1770" s="1">
        <f t="shared" si="337"/>
        <v>0</v>
      </c>
      <c r="AX1770" s="1">
        <f t="shared" si="338"/>
        <v>0</v>
      </c>
    </row>
    <row r="1771" spans="1:50" s="1" customFormat="1" ht="21.95" customHeight="1" outlineLevel="3" x14ac:dyDescent="0.2">
      <c r="A1771" s="11"/>
      <c r="B1771" s="12">
        <v>190</v>
      </c>
      <c r="C1771" s="12">
        <v>340</v>
      </c>
      <c r="D1771" s="12">
        <v>28992</v>
      </c>
      <c r="E1771" s="13" t="s">
        <v>5768</v>
      </c>
      <c r="F1771" s="13" t="s">
        <v>5769</v>
      </c>
      <c r="G1771" s="13" t="s">
        <v>163</v>
      </c>
      <c r="H1771" s="13"/>
      <c r="I1771" s="12">
        <v>2023</v>
      </c>
      <c r="J1771" s="13" t="s">
        <v>5770</v>
      </c>
      <c r="K1771" s="12">
        <v>9785961490978</v>
      </c>
      <c r="L1771" s="13" t="s">
        <v>5771</v>
      </c>
      <c r="M1771" s="12">
        <v>32</v>
      </c>
      <c r="N1771" s="14">
        <v>0.12</v>
      </c>
      <c r="O1771" s="12">
        <v>200</v>
      </c>
      <c r="P1771" s="12">
        <v>260</v>
      </c>
      <c r="Q1771" s="12">
        <v>30</v>
      </c>
      <c r="R1771" s="13" t="s">
        <v>300</v>
      </c>
      <c r="S1771" s="13" t="s">
        <v>5772</v>
      </c>
      <c r="T1771" s="15">
        <v>4000</v>
      </c>
      <c r="U1771" s="13" t="s">
        <v>44</v>
      </c>
      <c r="V1771" s="13" t="s">
        <v>269</v>
      </c>
      <c r="W1771" s="12">
        <v>10</v>
      </c>
      <c r="X1771" s="33" t="str">
        <f>HYPERLINK("https://www.alpinabook.ru/catalog/book-zimnie-skazki","ссылка на книгу")</f>
        <v>ссылка на книгу</v>
      </c>
      <c r="Y1771" s="34" t="str">
        <f t="shared" si="339"/>
        <v/>
      </c>
      <c r="Z1771" s="13"/>
      <c r="AT1771" s="1">
        <f t="shared" si="334"/>
        <v>0</v>
      </c>
      <c r="AU1771" s="1">
        <f t="shared" si="335"/>
        <v>0</v>
      </c>
      <c r="AV1771" s="1">
        <f t="shared" si="336"/>
        <v>0</v>
      </c>
      <c r="AW1771" s="1">
        <f t="shared" si="337"/>
        <v>0</v>
      </c>
      <c r="AX1771" s="1">
        <f t="shared" si="338"/>
        <v>0</v>
      </c>
    </row>
    <row r="1772" spans="1:50" s="1" customFormat="1" ht="21.95" customHeight="1" outlineLevel="3" x14ac:dyDescent="0.2">
      <c r="A1772" s="11"/>
      <c r="B1772" s="12">
        <v>190</v>
      </c>
      <c r="C1772" s="12">
        <v>340</v>
      </c>
      <c r="D1772" s="12">
        <v>28995</v>
      </c>
      <c r="E1772" s="13" t="s">
        <v>5768</v>
      </c>
      <c r="F1772" s="13" t="s">
        <v>5773</v>
      </c>
      <c r="G1772" s="13" t="s">
        <v>163</v>
      </c>
      <c r="H1772" s="13"/>
      <c r="I1772" s="12">
        <v>2023</v>
      </c>
      <c r="J1772" s="13" t="s">
        <v>5774</v>
      </c>
      <c r="K1772" s="12">
        <v>9785961491005</v>
      </c>
      <c r="L1772" s="13" t="s">
        <v>5775</v>
      </c>
      <c r="M1772" s="12">
        <v>32</v>
      </c>
      <c r="N1772" s="14">
        <v>0.12</v>
      </c>
      <c r="O1772" s="12">
        <v>200</v>
      </c>
      <c r="P1772" s="12">
        <v>260</v>
      </c>
      <c r="Q1772" s="12">
        <v>30</v>
      </c>
      <c r="R1772" s="13" t="s">
        <v>300</v>
      </c>
      <c r="S1772" s="13" t="s">
        <v>5772</v>
      </c>
      <c r="T1772" s="15">
        <v>4000</v>
      </c>
      <c r="U1772" s="13" t="s">
        <v>44</v>
      </c>
      <c r="V1772" s="13" t="s">
        <v>269</v>
      </c>
      <c r="W1772" s="12">
        <v>10</v>
      </c>
      <c r="X1772" s="33" t="str">
        <f>HYPERLINK("https://www.alpinabook.ru/catalog/book-zimniy-les","ссылка на книгу")</f>
        <v>ссылка на книгу</v>
      </c>
      <c r="Y1772" s="34" t="str">
        <f t="shared" si="339"/>
        <v/>
      </c>
      <c r="Z1772" s="13"/>
      <c r="AT1772" s="1">
        <f t="shared" si="334"/>
        <v>0</v>
      </c>
      <c r="AU1772" s="1">
        <f t="shared" si="335"/>
        <v>0</v>
      </c>
      <c r="AV1772" s="1">
        <f t="shared" si="336"/>
        <v>0</v>
      </c>
      <c r="AW1772" s="1">
        <f t="shared" si="337"/>
        <v>0</v>
      </c>
      <c r="AX1772" s="1">
        <f t="shared" si="338"/>
        <v>0</v>
      </c>
    </row>
    <row r="1773" spans="1:50" s="1" customFormat="1" ht="24.95" customHeight="1" outlineLevel="3" x14ac:dyDescent="0.2">
      <c r="A1773" s="11"/>
      <c r="B1773" s="15">
        <v>1990</v>
      </c>
      <c r="C1773" s="15">
        <v>1990</v>
      </c>
      <c r="D1773" s="12">
        <v>24387</v>
      </c>
      <c r="E1773" s="13" t="s">
        <v>5776</v>
      </c>
      <c r="F1773" s="13" t="s">
        <v>5777</v>
      </c>
      <c r="G1773" s="13" t="s">
        <v>163</v>
      </c>
      <c r="H1773" s="13"/>
      <c r="I1773" s="12">
        <v>2022</v>
      </c>
      <c r="J1773" s="13" t="s">
        <v>5778</v>
      </c>
      <c r="K1773" s="12">
        <v>9785961475098</v>
      </c>
      <c r="L1773" s="13" t="s">
        <v>5779</v>
      </c>
      <c r="M1773" s="12">
        <v>28</v>
      </c>
      <c r="N1773" s="14">
        <v>0.95</v>
      </c>
      <c r="O1773" s="12">
        <v>5</v>
      </c>
      <c r="P1773" s="12">
        <v>6</v>
      </c>
      <c r="Q1773" s="12">
        <v>22</v>
      </c>
      <c r="R1773" s="13" t="s">
        <v>300</v>
      </c>
      <c r="S1773" s="13" t="s">
        <v>5780</v>
      </c>
      <c r="T1773" s="15">
        <v>1000</v>
      </c>
      <c r="U1773" s="13" t="s">
        <v>52</v>
      </c>
      <c r="V1773" s="13" t="s">
        <v>64</v>
      </c>
      <c r="W1773" s="12">
        <v>20</v>
      </c>
      <c r="X1773" s="33" t="str">
        <f>HYPERLINK("https://www.alpinabook.ru/catalog/book-zimnyaya-skazka-nabor","ссылка на книгу")</f>
        <v>ссылка на книгу</v>
      </c>
      <c r="Y1773" s="34" t="str">
        <f t="shared" si="339"/>
        <v/>
      </c>
      <c r="Z1773" s="13"/>
      <c r="AT1773" s="1">
        <f t="shared" si="334"/>
        <v>0</v>
      </c>
      <c r="AU1773" s="1">
        <f t="shared" si="335"/>
        <v>0</v>
      </c>
      <c r="AV1773" s="1">
        <f t="shared" si="336"/>
        <v>0</v>
      </c>
      <c r="AW1773" s="1">
        <f t="shared" si="337"/>
        <v>0</v>
      </c>
      <c r="AX1773" s="1">
        <f t="shared" si="338"/>
        <v>0</v>
      </c>
    </row>
    <row r="1774" spans="1:50" s="1" customFormat="1" ht="21.95" customHeight="1" outlineLevel="3" x14ac:dyDescent="0.2">
      <c r="A1774" s="11"/>
      <c r="B1774" s="12">
        <v>190</v>
      </c>
      <c r="C1774" s="12">
        <v>190</v>
      </c>
      <c r="D1774" s="12">
        <v>28993</v>
      </c>
      <c r="E1774" s="13" t="s">
        <v>5768</v>
      </c>
      <c r="F1774" s="13" t="s">
        <v>5781</v>
      </c>
      <c r="G1774" s="13" t="s">
        <v>163</v>
      </c>
      <c r="H1774" s="13"/>
      <c r="I1774" s="12">
        <v>2023</v>
      </c>
      <c r="J1774" s="13" t="s">
        <v>5782</v>
      </c>
      <c r="K1774" s="12">
        <v>9785961490985</v>
      </c>
      <c r="L1774" s="13" t="s">
        <v>5783</v>
      </c>
      <c r="M1774" s="12">
        <v>32</v>
      </c>
      <c r="N1774" s="14">
        <v>0.12</v>
      </c>
      <c r="O1774" s="12">
        <v>200</v>
      </c>
      <c r="P1774" s="12">
        <v>260</v>
      </c>
      <c r="Q1774" s="12">
        <v>30</v>
      </c>
      <c r="R1774" s="13" t="s">
        <v>300</v>
      </c>
      <c r="S1774" s="13" t="s">
        <v>5772</v>
      </c>
      <c r="T1774" s="15">
        <v>4000</v>
      </c>
      <c r="U1774" s="13" t="s">
        <v>44</v>
      </c>
      <c r="V1774" s="13" t="s">
        <v>269</v>
      </c>
      <c r="W1774" s="12">
        <v>10</v>
      </c>
      <c r="X1774" s="33" t="str">
        <f>HYPERLINK("https://www.alpinabook.ru/catalog/book-zimushka-zima","ссылка на книгу")</f>
        <v>ссылка на книгу</v>
      </c>
      <c r="Y1774" s="34" t="str">
        <f t="shared" si="339"/>
        <v/>
      </c>
      <c r="Z1774" s="13"/>
      <c r="AT1774" s="1">
        <f t="shared" ref="AT1774:AT1805" si="340">IF($A1774&lt;&gt;0,1,0)</f>
        <v>0</v>
      </c>
      <c r="AU1774" s="1">
        <f t="shared" ref="AU1774:AU1805" si="341">$A1774*$B1774</f>
        <v>0</v>
      </c>
      <c r="AV1774" s="1">
        <f t="shared" ref="AV1774:AV1805" si="342">$A1774*$N1774</f>
        <v>0</v>
      </c>
      <c r="AW1774" s="1">
        <f t="shared" ref="AW1774:AW1805" si="343">IF($Q1774=0,0,INT($A1774/$Q1774))</f>
        <v>0</v>
      </c>
      <c r="AX1774" s="1">
        <f t="shared" ref="AX1774:AX1805" si="344">$A1774-$AW1774*$Q1774</f>
        <v>0</v>
      </c>
    </row>
    <row r="1775" spans="1:50" s="1" customFormat="1" ht="24.95" customHeight="1" outlineLevel="3" x14ac:dyDescent="0.2">
      <c r="A1775" s="11"/>
      <c r="B1775" s="12">
        <v>950</v>
      </c>
      <c r="C1775" s="12">
        <v>950</v>
      </c>
      <c r="D1775" s="12">
        <v>24245</v>
      </c>
      <c r="E1775" s="13" t="s">
        <v>283</v>
      </c>
      <c r="F1775" s="13" t="s">
        <v>5784</v>
      </c>
      <c r="G1775" s="13" t="s">
        <v>97</v>
      </c>
      <c r="H1775" s="13" t="s">
        <v>40</v>
      </c>
      <c r="I1775" s="12">
        <v>2022</v>
      </c>
      <c r="J1775" s="13" t="s">
        <v>5785</v>
      </c>
      <c r="K1775" s="12">
        <v>9785907534162</v>
      </c>
      <c r="L1775" s="13" t="s">
        <v>5786</v>
      </c>
      <c r="M1775" s="12">
        <v>192</v>
      </c>
      <c r="N1775" s="14">
        <v>0.67</v>
      </c>
      <c r="O1775" s="12">
        <v>205</v>
      </c>
      <c r="P1775" s="12">
        <v>266</v>
      </c>
      <c r="Q1775" s="12">
        <v>8</v>
      </c>
      <c r="R1775" s="13" t="s">
        <v>300</v>
      </c>
      <c r="S1775" s="13"/>
      <c r="T1775" s="15">
        <v>1500</v>
      </c>
      <c r="U1775" s="13" t="s">
        <v>52</v>
      </c>
      <c r="V1775" s="13" t="s">
        <v>269</v>
      </c>
      <c r="W1775" s="12">
        <v>10</v>
      </c>
      <c r="X1775" s="33" t="str">
        <f>HYPERLINK("https://www.alpinabook.ru/catalog/book-ii-5-bolshikh-idey","ссылка на книгу")</f>
        <v>ссылка на книгу</v>
      </c>
      <c r="Y1775" s="34" t="str">
        <f>HYPERLINK("https://api-enni.alpina.ru/FilePrivilegesApproval/129","https://api-enni.alpina.ru/FilePrivilegesApproval/129")</f>
        <v>https://api-enni.alpina.ru/FilePrivilegesApproval/129</v>
      </c>
      <c r="Z1775" s="13"/>
      <c r="AT1775" s="1">
        <f t="shared" si="340"/>
        <v>0</v>
      </c>
      <c r="AU1775" s="1">
        <f t="shared" si="341"/>
        <v>0</v>
      </c>
      <c r="AV1775" s="1">
        <f t="shared" si="342"/>
        <v>0</v>
      </c>
      <c r="AW1775" s="1">
        <f t="shared" si="343"/>
        <v>0</v>
      </c>
      <c r="AX1775" s="1">
        <f t="shared" si="344"/>
        <v>0</v>
      </c>
    </row>
    <row r="1776" spans="1:50" s="1" customFormat="1" ht="24.95" customHeight="1" outlineLevel="3" x14ac:dyDescent="0.2">
      <c r="A1776" s="26"/>
      <c r="B1776" s="27">
        <v>490</v>
      </c>
      <c r="C1776" s="27">
        <v>490</v>
      </c>
      <c r="D1776" s="27">
        <v>23818</v>
      </c>
      <c r="E1776" s="29" t="s">
        <v>5587</v>
      </c>
      <c r="F1776" s="29" t="s">
        <v>5787</v>
      </c>
      <c r="G1776" s="29" t="s">
        <v>163</v>
      </c>
      <c r="H1776" s="29"/>
      <c r="I1776" s="27">
        <v>2022</v>
      </c>
      <c r="J1776" s="29" t="s">
        <v>5788</v>
      </c>
      <c r="K1776" s="27">
        <v>9785961442694</v>
      </c>
      <c r="L1776" s="29" t="s">
        <v>5789</v>
      </c>
      <c r="M1776" s="27">
        <v>56</v>
      </c>
      <c r="N1776" s="30">
        <v>0.35</v>
      </c>
      <c r="O1776" s="27">
        <v>168</v>
      </c>
      <c r="P1776" s="27">
        <v>241</v>
      </c>
      <c r="Q1776" s="27">
        <v>16</v>
      </c>
      <c r="R1776" s="29" t="s">
        <v>94</v>
      </c>
      <c r="S1776" s="29"/>
      <c r="T1776" s="28">
        <v>3000</v>
      </c>
      <c r="U1776" s="29" t="s">
        <v>52</v>
      </c>
      <c r="V1776" s="29" t="s">
        <v>269</v>
      </c>
      <c r="W1776" s="27">
        <v>10</v>
      </c>
      <c r="X1776" s="37" t="str">
        <f>HYPERLINK("https://www.alpinabook.ru/catalog/book-kak-byt-vnimatelnym","ссылка на книгу")</f>
        <v>ссылка на книгу</v>
      </c>
      <c r="Y1776" s="38" t="str">
        <f>HYPERLINK("https://api-enni.alpina.ru/FileCertificateProject/211","https://api-enni.alpina.ru/FileCertificateProject/211")</f>
        <v>https://api-enni.alpina.ru/FileCertificateProject/211</v>
      </c>
      <c r="Z1776" s="29"/>
      <c r="AT1776" s="1">
        <f t="shared" si="340"/>
        <v>0</v>
      </c>
      <c r="AU1776" s="1">
        <f t="shared" si="341"/>
        <v>0</v>
      </c>
      <c r="AV1776" s="1">
        <f t="shared" si="342"/>
        <v>0</v>
      </c>
      <c r="AW1776" s="1">
        <f t="shared" si="343"/>
        <v>0</v>
      </c>
      <c r="AX1776" s="1">
        <f t="shared" si="344"/>
        <v>0</v>
      </c>
    </row>
    <row r="1777" spans="1:50" s="1" customFormat="1" ht="24.95" customHeight="1" outlineLevel="3" x14ac:dyDescent="0.2">
      <c r="A1777" s="11"/>
      <c r="B1777" s="12">
        <v>640</v>
      </c>
      <c r="C1777" s="12">
        <v>940</v>
      </c>
      <c r="D1777" s="12">
        <v>29023</v>
      </c>
      <c r="E1777" s="13" t="s">
        <v>5587</v>
      </c>
      <c r="F1777" s="13" t="s">
        <v>5787</v>
      </c>
      <c r="G1777" s="13" t="s">
        <v>163</v>
      </c>
      <c r="H1777" s="13"/>
      <c r="I1777" s="12">
        <v>2025</v>
      </c>
      <c r="J1777" s="13" t="s">
        <v>5790</v>
      </c>
      <c r="K1777" s="12">
        <v>9785961491081</v>
      </c>
      <c r="L1777" s="13" t="s">
        <v>5791</v>
      </c>
      <c r="M1777" s="12">
        <v>56</v>
      </c>
      <c r="N1777" s="14">
        <v>0.3</v>
      </c>
      <c r="O1777" s="12">
        <v>170</v>
      </c>
      <c r="P1777" s="12">
        <v>240</v>
      </c>
      <c r="Q1777" s="12">
        <v>16</v>
      </c>
      <c r="R1777" s="13" t="s">
        <v>94</v>
      </c>
      <c r="S1777" s="13"/>
      <c r="T1777" s="15">
        <v>2000</v>
      </c>
      <c r="U1777" s="13" t="s">
        <v>52</v>
      </c>
      <c r="V1777" s="13" t="s">
        <v>269</v>
      </c>
      <c r="W1777" s="12">
        <v>10</v>
      </c>
      <c r="X1777" s="33" t="str">
        <f>HYPERLINK("https://www.alpinabook.ru/catalog/book-kak-byt-vnimatelnym","ссылка на книгу")</f>
        <v>ссылка на книгу</v>
      </c>
      <c r="Y1777" s="34" t="str">
        <f>HYPERLINK("https://api-enni.alpina.ru/FileCertificateProject/211","https://api-enni.alpina.ru/FileCertificateProject/211")</f>
        <v>https://api-enni.alpina.ru/FileCertificateProject/211</v>
      </c>
      <c r="Z1777" s="13" t="s">
        <v>5757</v>
      </c>
      <c r="AT1777" s="1">
        <f t="shared" si="340"/>
        <v>0</v>
      </c>
      <c r="AU1777" s="1">
        <f t="shared" si="341"/>
        <v>0</v>
      </c>
      <c r="AV1777" s="1">
        <f t="shared" si="342"/>
        <v>0</v>
      </c>
      <c r="AW1777" s="1">
        <f t="shared" si="343"/>
        <v>0</v>
      </c>
      <c r="AX1777" s="1">
        <f t="shared" si="344"/>
        <v>0</v>
      </c>
    </row>
    <row r="1778" spans="1:50" s="1" customFormat="1" ht="21.95" customHeight="1" outlineLevel="3" x14ac:dyDescent="0.2">
      <c r="A1778" s="11"/>
      <c r="B1778" s="12">
        <v>690</v>
      </c>
      <c r="C1778" s="12">
        <v>990</v>
      </c>
      <c r="D1778" s="12">
        <v>29010</v>
      </c>
      <c r="E1778" s="13" t="s">
        <v>5792</v>
      </c>
      <c r="F1778" s="13" t="s">
        <v>5793</v>
      </c>
      <c r="G1778" s="13" t="s">
        <v>163</v>
      </c>
      <c r="H1778" s="13" t="s">
        <v>236</v>
      </c>
      <c r="I1778" s="12">
        <v>2025</v>
      </c>
      <c r="J1778" s="13" t="s">
        <v>5794</v>
      </c>
      <c r="K1778" s="12">
        <v>9785961491029</v>
      </c>
      <c r="L1778" s="13" t="s">
        <v>5795</v>
      </c>
      <c r="M1778" s="12">
        <v>96</v>
      </c>
      <c r="N1778" s="14">
        <v>0.45</v>
      </c>
      <c r="O1778" s="12">
        <v>210</v>
      </c>
      <c r="P1778" s="12">
        <v>260</v>
      </c>
      <c r="Q1778" s="12">
        <v>12</v>
      </c>
      <c r="R1778" s="13" t="s">
        <v>300</v>
      </c>
      <c r="S1778" s="13"/>
      <c r="T1778" s="15">
        <v>2000</v>
      </c>
      <c r="U1778" s="13" t="s">
        <v>52</v>
      </c>
      <c r="V1778" s="13" t="s">
        <v>269</v>
      </c>
      <c r="W1778" s="12">
        <v>10</v>
      </c>
      <c r="X1778" s="33" t="str">
        <f>HYPERLINK("https://www.alpinabook.ru/catalog/book-kak-vse-menyalos","ссылка на книгу")</f>
        <v>ссылка на книгу</v>
      </c>
      <c r="Y1778" s="34" t="str">
        <f>HYPERLINK("","")</f>
        <v/>
      </c>
      <c r="Z1778" s="13" t="s">
        <v>132</v>
      </c>
      <c r="AT1778" s="1">
        <f t="shared" si="340"/>
        <v>0</v>
      </c>
      <c r="AU1778" s="1">
        <f t="shared" si="341"/>
        <v>0</v>
      </c>
      <c r="AV1778" s="1">
        <f t="shared" si="342"/>
        <v>0</v>
      </c>
      <c r="AW1778" s="1">
        <f t="shared" si="343"/>
        <v>0</v>
      </c>
      <c r="AX1778" s="1">
        <f t="shared" si="344"/>
        <v>0</v>
      </c>
    </row>
    <row r="1779" spans="1:50" s="1" customFormat="1" ht="24.95" customHeight="1" outlineLevel="3" x14ac:dyDescent="0.2">
      <c r="A1779" s="11"/>
      <c r="B1779" s="12">
        <v>340</v>
      </c>
      <c r="C1779" s="12">
        <v>540</v>
      </c>
      <c r="D1779" s="12">
        <v>28619</v>
      </c>
      <c r="E1779" s="13" t="s">
        <v>5749</v>
      </c>
      <c r="F1779" s="13" t="s">
        <v>5796</v>
      </c>
      <c r="G1779" s="13" t="s">
        <v>163</v>
      </c>
      <c r="H1779" s="13"/>
      <c r="I1779" s="12">
        <v>2024</v>
      </c>
      <c r="J1779" s="13" t="s">
        <v>5797</v>
      </c>
      <c r="K1779" s="12">
        <v>9785961489514</v>
      </c>
      <c r="L1779" s="13" t="s">
        <v>5798</v>
      </c>
      <c r="M1779" s="12">
        <v>56</v>
      </c>
      <c r="N1779" s="14">
        <v>0.19</v>
      </c>
      <c r="O1779" s="12">
        <v>200</v>
      </c>
      <c r="P1779" s="12">
        <v>260</v>
      </c>
      <c r="Q1779" s="12">
        <v>20</v>
      </c>
      <c r="R1779" s="13" t="s">
        <v>167</v>
      </c>
      <c r="S1779" s="13" t="s">
        <v>5753</v>
      </c>
      <c r="T1779" s="15">
        <v>3000</v>
      </c>
      <c r="U1779" s="13" t="s">
        <v>44</v>
      </c>
      <c r="V1779" s="13" t="s">
        <v>269</v>
      </c>
      <c r="W1779" s="12">
        <v>10</v>
      </c>
      <c r="X1779" s="33" t="str">
        <f>HYPERLINK("https://www.alpinabook.ru/catalog/book-kak-neschastnyy-loshadyenok-stal-schastlivym","ссылка на книгу")</f>
        <v>ссылка на книгу</v>
      </c>
      <c r="Y1779" s="34" t="str">
        <f>HYPERLINK("https://api-enni.alpina.ru/FileCertificateProject/469","https://api-enni.alpina.ru/FileCertificateProject/469")</f>
        <v>https://api-enni.alpina.ru/FileCertificateProject/469</v>
      </c>
      <c r="Z1779" s="13"/>
      <c r="AT1779" s="1">
        <f t="shared" si="340"/>
        <v>0</v>
      </c>
      <c r="AU1779" s="1">
        <f t="shared" si="341"/>
        <v>0</v>
      </c>
      <c r="AV1779" s="1">
        <f t="shared" si="342"/>
        <v>0</v>
      </c>
      <c r="AW1779" s="1">
        <f t="shared" si="343"/>
        <v>0</v>
      </c>
      <c r="AX1779" s="1">
        <f t="shared" si="344"/>
        <v>0</v>
      </c>
    </row>
    <row r="1780" spans="1:50" s="1" customFormat="1" ht="24.95" customHeight="1" outlineLevel="3" x14ac:dyDescent="0.2">
      <c r="A1780" s="11"/>
      <c r="B1780" s="12">
        <v>640</v>
      </c>
      <c r="C1780" s="12">
        <v>940</v>
      </c>
      <c r="D1780" s="12">
        <v>28269</v>
      </c>
      <c r="E1780" s="13" t="s">
        <v>5799</v>
      </c>
      <c r="F1780" s="13" t="s">
        <v>5800</v>
      </c>
      <c r="G1780" s="13" t="s">
        <v>163</v>
      </c>
      <c r="H1780" s="13"/>
      <c r="I1780" s="12">
        <v>2023</v>
      </c>
      <c r="J1780" s="13" t="s">
        <v>5801</v>
      </c>
      <c r="K1780" s="12">
        <v>9785961487602</v>
      </c>
      <c r="L1780" s="13" t="s">
        <v>5802</v>
      </c>
      <c r="M1780" s="12">
        <v>96</v>
      </c>
      <c r="N1780" s="14">
        <v>0.36</v>
      </c>
      <c r="O1780" s="12">
        <v>170</v>
      </c>
      <c r="P1780" s="12">
        <v>250</v>
      </c>
      <c r="Q1780" s="12">
        <v>12</v>
      </c>
      <c r="R1780" s="13" t="s">
        <v>94</v>
      </c>
      <c r="S1780" s="13" t="s">
        <v>5803</v>
      </c>
      <c r="T1780" s="15">
        <v>1000</v>
      </c>
      <c r="U1780" s="13" t="s">
        <v>52</v>
      </c>
      <c r="V1780" s="13" t="s">
        <v>269</v>
      </c>
      <c r="W1780" s="12">
        <v>10</v>
      </c>
      <c r="X1780" s="33" t="str">
        <f>HYPERLINK("https://www.alpinabook.ru/catalog/book-kak-rabotaet-reklama","ссылка на книгу")</f>
        <v>ссылка на книгу</v>
      </c>
      <c r="Y1780" s="34" t="str">
        <f>HYPERLINK("https://api-enni.alpina.ru/FileCertificateProject/536","https://api-enni.alpina.ru/FileCertificateProject/536")</f>
        <v>https://api-enni.alpina.ru/FileCertificateProject/536</v>
      </c>
      <c r="Z1780" s="13"/>
      <c r="AT1780" s="1">
        <f t="shared" si="340"/>
        <v>0</v>
      </c>
      <c r="AU1780" s="1">
        <f t="shared" si="341"/>
        <v>0</v>
      </c>
      <c r="AV1780" s="1">
        <f t="shared" si="342"/>
        <v>0</v>
      </c>
      <c r="AW1780" s="1">
        <f t="shared" si="343"/>
        <v>0</v>
      </c>
      <c r="AX1780" s="1">
        <f t="shared" si="344"/>
        <v>0</v>
      </c>
    </row>
    <row r="1781" spans="1:50" s="1" customFormat="1" ht="24.95" customHeight="1" outlineLevel="3" x14ac:dyDescent="0.2">
      <c r="A1781" s="11"/>
      <c r="B1781" s="12">
        <v>490</v>
      </c>
      <c r="C1781" s="12">
        <v>740</v>
      </c>
      <c r="D1781" s="12">
        <v>23945</v>
      </c>
      <c r="E1781" s="13" t="s">
        <v>5728</v>
      </c>
      <c r="F1781" s="13" t="s">
        <v>5804</v>
      </c>
      <c r="G1781" s="13" t="s">
        <v>163</v>
      </c>
      <c r="H1781" s="13"/>
      <c r="I1781" s="12">
        <v>2022</v>
      </c>
      <c r="J1781" s="13" t="s">
        <v>5805</v>
      </c>
      <c r="K1781" s="12">
        <v>9785961473964</v>
      </c>
      <c r="L1781" s="13" t="s">
        <v>5806</v>
      </c>
      <c r="M1781" s="12">
        <v>40</v>
      </c>
      <c r="N1781" s="14">
        <v>0.2</v>
      </c>
      <c r="O1781" s="12">
        <v>170</v>
      </c>
      <c r="P1781" s="12">
        <v>221</v>
      </c>
      <c r="Q1781" s="12">
        <v>25</v>
      </c>
      <c r="R1781" s="13" t="s">
        <v>100</v>
      </c>
      <c r="S1781" s="13" t="s">
        <v>5732</v>
      </c>
      <c r="T1781" s="15">
        <v>3000</v>
      </c>
      <c r="U1781" s="13" t="s">
        <v>52</v>
      </c>
      <c r="V1781" s="13" t="s">
        <v>269</v>
      </c>
      <c r="W1781" s="12">
        <v>10</v>
      </c>
      <c r="X1781" s="33" t="str">
        <f>HYPERLINK("https://www.alpinabook.ru/catalog/book-kak-tima-ukusila-loshad","ссылка на книгу")</f>
        <v>ссылка на книгу</v>
      </c>
      <c r="Y1781" s="34" t="str">
        <f>HYPERLINK("https://api-enni.alpina.ru/FileCertificateProject/682","https://api-enni.alpina.ru/FileCertificateProject/682")</f>
        <v>https://api-enni.alpina.ru/FileCertificateProject/682</v>
      </c>
      <c r="Z1781" s="13"/>
      <c r="AT1781" s="1">
        <f t="shared" si="340"/>
        <v>0</v>
      </c>
      <c r="AU1781" s="1">
        <f t="shared" si="341"/>
        <v>0</v>
      </c>
      <c r="AV1781" s="1">
        <f t="shared" si="342"/>
        <v>0</v>
      </c>
      <c r="AW1781" s="1">
        <f t="shared" si="343"/>
        <v>0</v>
      </c>
      <c r="AX1781" s="1">
        <f t="shared" si="344"/>
        <v>0</v>
      </c>
    </row>
    <row r="1782" spans="1:50" s="1" customFormat="1" ht="24.95" customHeight="1" outlineLevel="3" x14ac:dyDescent="0.2">
      <c r="A1782" s="11"/>
      <c r="B1782" s="12">
        <v>790</v>
      </c>
      <c r="C1782" s="15">
        <v>1190</v>
      </c>
      <c r="D1782" s="12">
        <v>30435</v>
      </c>
      <c r="E1782" s="13" t="s">
        <v>5807</v>
      </c>
      <c r="F1782" s="13" t="s">
        <v>5808</v>
      </c>
      <c r="G1782" s="13" t="s">
        <v>163</v>
      </c>
      <c r="H1782" s="13" t="s">
        <v>40</v>
      </c>
      <c r="I1782" s="12">
        <v>2024</v>
      </c>
      <c r="J1782" s="13" t="s">
        <v>5809</v>
      </c>
      <c r="K1782" s="12">
        <v>9785961495492</v>
      </c>
      <c r="L1782" s="13" t="s">
        <v>5810</v>
      </c>
      <c r="M1782" s="12">
        <v>88</v>
      </c>
      <c r="N1782" s="14">
        <v>0.57999999999999996</v>
      </c>
      <c r="O1782" s="12">
        <v>240</v>
      </c>
      <c r="P1782" s="12">
        <v>310</v>
      </c>
      <c r="Q1782" s="12">
        <v>12</v>
      </c>
      <c r="R1782" s="13" t="s">
        <v>167</v>
      </c>
      <c r="S1782" s="13"/>
      <c r="T1782" s="15">
        <v>3000</v>
      </c>
      <c r="U1782" s="13" t="s">
        <v>52</v>
      </c>
      <c r="V1782" s="13" t="s">
        <v>269</v>
      </c>
      <c r="W1782" s="12">
        <v>10</v>
      </c>
      <c r="X1782" s="33" t="str">
        <f>HYPERLINK("https://www.alpinabook.ru/catalog/book-kamni-i-kosti","ссылка на книгу")</f>
        <v>ссылка на книгу</v>
      </c>
      <c r="Y1782" s="34" t="str">
        <f>HYPERLINK("https://api-enni.alpina.ru/FileCertificateProject/502","https://api-enni.alpina.ru/FileCertificateProject/502")</f>
        <v>https://api-enni.alpina.ru/FileCertificateProject/502</v>
      </c>
      <c r="Z1782" s="13"/>
      <c r="AT1782" s="1">
        <f t="shared" si="340"/>
        <v>0</v>
      </c>
      <c r="AU1782" s="1">
        <f t="shared" si="341"/>
        <v>0</v>
      </c>
      <c r="AV1782" s="1">
        <f t="shared" si="342"/>
        <v>0</v>
      </c>
      <c r="AW1782" s="1">
        <f t="shared" si="343"/>
        <v>0</v>
      </c>
      <c r="AX1782" s="1">
        <f t="shared" si="344"/>
        <v>0</v>
      </c>
    </row>
    <row r="1783" spans="1:50" s="1" customFormat="1" ht="24.95" customHeight="1" outlineLevel="3" x14ac:dyDescent="0.2">
      <c r="A1783" s="26"/>
      <c r="B1783" s="27">
        <v>690</v>
      </c>
      <c r="C1783" s="27">
        <v>990</v>
      </c>
      <c r="D1783" s="27">
        <v>29011</v>
      </c>
      <c r="E1783" s="29" t="s">
        <v>5792</v>
      </c>
      <c r="F1783" s="29" t="s">
        <v>5811</v>
      </c>
      <c r="G1783" s="29" t="s">
        <v>163</v>
      </c>
      <c r="H1783" s="29" t="s">
        <v>236</v>
      </c>
      <c r="I1783" s="27">
        <v>2024</v>
      </c>
      <c r="J1783" s="29" t="s">
        <v>5812</v>
      </c>
      <c r="K1783" s="27">
        <v>9785961491036</v>
      </c>
      <c r="L1783" s="29" t="s">
        <v>5813</v>
      </c>
      <c r="M1783" s="27">
        <v>96</v>
      </c>
      <c r="N1783" s="30">
        <v>0.44</v>
      </c>
      <c r="O1783" s="27">
        <v>210</v>
      </c>
      <c r="P1783" s="27">
        <v>260</v>
      </c>
      <c r="Q1783" s="27">
        <v>12</v>
      </c>
      <c r="R1783" s="29" t="s">
        <v>300</v>
      </c>
      <c r="S1783" s="29"/>
      <c r="T1783" s="28">
        <v>3000</v>
      </c>
      <c r="U1783" s="29" t="s">
        <v>52</v>
      </c>
      <c r="V1783" s="29" t="s">
        <v>269</v>
      </c>
      <c r="W1783" s="27">
        <v>10</v>
      </c>
      <c r="X1783" s="37" t="str">
        <f>HYPERLINK("https://www.alpinabook.ru/catalog/book-kogda-vse-poshlo-ne-po-planu","ссылка на книгу")</f>
        <v>ссылка на книгу</v>
      </c>
      <c r="Y1783" s="38" t="str">
        <f>HYPERLINK("https://api-enni.alpina.ru/FileCertificateProject/610","https://api-enni.alpina.ru/FileCertificateProject/610")</f>
        <v>https://api-enni.alpina.ru/FileCertificateProject/610</v>
      </c>
      <c r="Z1783" s="29"/>
      <c r="AT1783" s="1">
        <f t="shared" si="340"/>
        <v>0</v>
      </c>
      <c r="AU1783" s="1">
        <f t="shared" si="341"/>
        <v>0</v>
      </c>
      <c r="AV1783" s="1">
        <f t="shared" si="342"/>
        <v>0</v>
      </c>
      <c r="AW1783" s="1">
        <f t="shared" si="343"/>
        <v>0</v>
      </c>
      <c r="AX1783" s="1">
        <f t="shared" si="344"/>
        <v>0</v>
      </c>
    </row>
    <row r="1784" spans="1:50" s="1" customFormat="1" ht="24.95" customHeight="1" outlineLevel="3" x14ac:dyDescent="0.2">
      <c r="A1784" s="11"/>
      <c r="B1784" s="12">
        <v>340</v>
      </c>
      <c r="C1784" s="12">
        <v>340</v>
      </c>
      <c r="D1784" s="12">
        <v>26579</v>
      </c>
      <c r="E1784" s="13" t="s">
        <v>5814</v>
      </c>
      <c r="F1784" s="13" t="s">
        <v>5815</v>
      </c>
      <c r="G1784" s="13" t="s">
        <v>163</v>
      </c>
      <c r="H1784" s="13"/>
      <c r="I1784" s="12">
        <v>2022</v>
      </c>
      <c r="J1784" s="13" t="s">
        <v>5816</v>
      </c>
      <c r="K1784" s="12">
        <v>9785961482287</v>
      </c>
      <c r="L1784" s="13" t="s">
        <v>5817</v>
      </c>
      <c r="M1784" s="12">
        <v>40</v>
      </c>
      <c r="N1784" s="14">
        <v>0.2</v>
      </c>
      <c r="O1784" s="12">
        <v>176</v>
      </c>
      <c r="P1784" s="12">
        <v>185</v>
      </c>
      <c r="Q1784" s="12">
        <v>18</v>
      </c>
      <c r="R1784" s="13" t="s">
        <v>300</v>
      </c>
      <c r="S1784" s="13" t="s">
        <v>5818</v>
      </c>
      <c r="T1784" s="15">
        <v>2000</v>
      </c>
      <c r="U1784" s="13" t="s">
        <v>52</v>
      </c>
      <c r="V1784" s="13" t="s">
        <v>5626</v>
      </c>
      <c r="W1784" s="12">
        <v>10</v>
      </c>
      <c r="X1784" s="33" t="str">
        <f>HYPERLINK("https://www.alpinabook.ru/catalog/book-ledi-orangutan","ссылка на книгу")</f>
        <v>ссылка на книгу</v>
      </c>
      <c r="Y1784" s="34" t="str">
        <f>HYPERLINK("https://api-enni.alpina.ru/FileCertificateProject/54","https://api-enni.alpina.ru/FileCertificateProject/54")</f>
        <v>https://api-enni.alpina.ru/FileCertificateProject/54</v>
      </c>
      <c r="Z1784" s="13"/>
      <c r="AT1784" s="1">
        <f t="shared" si="340"/>
        <v>0</v>
      </c>
      <c r="AU1784" s="1">
        <f t="shared" si="341"/>
        <v>0</v>
      </c>
      <c r="AV1784" s="1">
        <f t="shared" si="342"/>
        <v>0</v>
      </c>
      <c r="AW1784" s="1">
        <f t="shared" si="343"/>
        <v>0</v>
      </c>
      <c r="AX1784" s="1">
        <f t="shared" si="344"/>
        <v>0</v>
      </c>
    </row>
    <row r="1785" spans="1:50" s="1" customFormat="1" ht="24.95" customHeight="1" outlineLevel="3" x14ac:dyDescent="0.2">
      <c r="A1785" s="11"/>
      <c r="B1785" s="12">
        <v>540</v>
      </c>
      <c r="C1785" s="12">
        <v>540</v>
      </c>
      <c r="D1785" s="12">
        <v>24040</v>
      </c>
      <c r="E1785" s="13" t="s">
        <v>5819</v>
      </c>
      <c r="F1785" s="13" t="s">
        <v>5820</v>
      </c>
      <c r="G1785" s="13" t="s">
        <v>163</v>
      </c>
      <c r="H1785" s="13"/>
      <c r="I1785" s="12">
        <v>2022</v>
      </c>
      <c r="J1785" s="13" t="s">
        <v>5821</v>
      </c>
      <c r="K1785" s="12">
        <v>9785961442656</v>
      </c>
      <c r="L1785" s="13" t="s">
        <v>5822</v>
      </c>
      <c r="M1785" s="12">
        <v>32</v>
      </c>
      <c r="N1785" s="14">
        <v>0.32</v>
      </c>
      <c r="O1785" s="12">
        <v>195</v>
      </c>
      <c r="P1785" s="12">
        <v>270</v>
      </c>
      <c r="Q1785" s="12">
        <v>20</v>
      </c>
      <c r="R1785" s="13" t="s">
        <v>300</v>
      </c>
      <c r="S1785" s="13" t="s">
        <v>5823</v>
      </c>
      <c r="T1785" s="15">
        <v>3000</v>
      </c>
      <c r="U1785" s="13" t="s">
        <v>52</v>
      </c>
      <c r="V1785" s="13" t="s">
        <v>64</v>
      </c>
      <c r="W1785" s="12">
        <v>10</v>
      </c>
      <c r="X1785" s="33" t="str">
        <f>HYPERLINK("https://www.alpinabook.ru/catalog/book-lili-uznayet-figury","ссылка на книгу")</f>
        <v>ссылка на книгу</v>
      </c>
      <c r="Y1785" s="34" t="str">
        <f>HYPERLINK("https://api-enni.alpina.ru/FileCertificateProject/239","https://api-enni.alpina.ru/FileCertificateProject/239")</f>
        <v>https://api-enni.alpina.ru/FileCertificateProject/239</v>
      </c>
      <c r="Z1785" s="13"/>
      <c r="AT1785" s="1">
        <f t="shared" si="340"/>
        <v>0</v>
      </c>
      <c r="AU1785" s="1">
        <f t="shared" si="341"/>
        <v>0</v>
      </c>
      <c r="AV1785" s="1">
        <f t="shared" si="342"/>
        <v>0</v>
      </c>
      <c r="AW1785" s="1">
        <f t="shared" si="343"/>
        <v>0</v>
      </c>
      <c r="AX1785" s="1">
        <f t="shared" si="344"/>
        <v>0</v>
      </c>
    </row>
    <row r="1786" spans="1:50" s="1" customFormat="1" ht="24.95" customHeight="1" outlineLevel="3" x14ac:dyDescent="0.2">
      <c r="A1786" s="11"/>
      <c r="B1786" s="12">
        <v>540</v>
      </c>
      <c r="C1786" s="12">
        <v>540</v>
      </c>
      <c r="D1786" s="12">
        <v>24039</v>
      </c>
      <c r="E1786" s="13" t="s">
        <v>5819</v>
      </c>
      <c r="F1786" s="13" t="s">
        <v>5824</v>
      </c>
      <c r="G1786" s="13" t="s">
        <v>163</v>
      </c>
      <c r="H1786" s="13"/>
      <c r="I1786" s="12">
        <v>2022</v>
      </c>
      <c r="J1786" s="13" t="s">
        <v>5825</v>
      </c>
      <c r="K1786" s="12">
        <v>9785961475333</v>
      </c>
      <c r="L1786" s="13" t="s">
        <v>5826</v>
      </c>
      <c r="M1786" s="12">
        <v>32</v>
      </c>
      <c r="N1786" s="14">
        <v>0.32</v>
      </c>
      <c r="O1786" s="12">
        <v>195</v>
      </c>
      <c r="P1786" s="12">
        <v>270</v>
      </c>
      <c r="Q1786" s="12">
        <v>18</v>
      </c>
      <c r="R1786" s="13" t="s">
        <v>300</v>
      </c>
      <c r="S1786" s="13" t="s">
        <v>5823</v>
      </c>
      <c r="T1786" s="15">
        <v>3000</v>
      </c>
      <c r="U1786" s="13" t="s">
        <v>52</v>
      </c>
      <c r="V1786" s="13" t="s">
        <v>64</v>
      </c>
      <c r="W1786" s="12">
        <v>10</v>
      </c>
      <c r="X1786" s="33" t="str">
        <f>HYPERLINK("https://www.alpinabook.ru/catalog/book-lili-uchitsya-sravnivat","ссылка на книгу")</f>
        <v>ссылка на книгу</v>
      </c>
      <c r="Y1786" s="34" t="str">
        <f>HYPERLINK("https://api-enni.alpina.ru/FileCertificateProject/238","https://api-enni.alpina.ru/FileCertificateProject/238")</f>
        <v>https://api-enni.alpina.ru/FileCertificateProject/238</v>
      </c>
      <c r="Z1786" s="13"/>
      <c r="AT1786" s="1">
        <f t="shared" si="340"/>
        <v>0</v>
      </c>
      <c r="AU1786" s="1">
        <f t="shared" si="341"/>
        <v>0</v>
      </c>
      <c r="AV1786" s="1">
        <f t="shared" si="342"/>
        <v>0</v>
      </c>
      <c r="AW1786" s="1">
        <f t="shared" si="343"/>
        <v>0</v>
      </c>
      <c r="AX1786" s="1">
        <f t="shared" si="344"/>
        <v>0</v>
      </c>
    </row>
    <row r="1787" spans="1:50" s="1" customFormat="1" ht="24.95" customHeight="1" outlineLevel="3" x14ac:dyDescent="0.2">
      <c r="A1787" s="11"/>
      <c r="B1787" s="12">
        <v>540</v>
      </c>
      <c r="C1787" s="12">
        <v>540</v>
      </c>
      <c r="D1787" s="12">
        <v>24038</v>
      </c>
      <c r="E1787" s="13" t="s">
        <v>5819</v>
      </c>
      <c r="F1787" s="13" t="s">
        <v>5827</v>
      </c>
      <c r="G1787" s="13" t="s">
        <v>163</v>
      </c>
      <c r="H1787" s="13"/>
      <c r="I1787" s="12">
        <v>2022</v>
      </c>
      <c r="J1787" s="13" t="s">
        <v>5828</v>
      </c>
      <c r="K1787" s="12">
        <v>9785961474626</v>
      </c>
      <c r="L1787" s="13" t="s">
        <v>5829</v>
      </c>
      <c r="M1787" s="12">
        <v>32</v>
      </c>
      <c r="N1787" s="14">
        <v>0.28000000000000003</v>
      </c>
      <c r="O1787" s="12">
        <v>195</v>
      </c>
      <c r="P1787" s="12">
        <v>270</v>
      </c>
      <c r="Q1787" s="12">
        <v>20</v>
      </c>
      <c r="R1787" s="13" t="s">
        <v>300</v>
      </c>
      <c r="S1787" s="13" t="s">
        <v>5823</v>
      </c>
      <c r="T1787" s="15">
        <v>3000</v>
      </c>
      <c r="U1787" s="13" t="s">
        <v>52</v>
      </c>
      <c r="V1787" s="13" t="s">
        <v>64</v>
      </c>
      <c r="W1787" s="12">
        <v>10</v>
      </c>
      <c r="X1787" s="33" t="str">
        <f>HYPERLINK("https://www.alpinabook.ru/catalog/book-lili-uchitsya-schitat","ссылка на книгу")</f>
        <v>ссылка на книгу</v>
      </c>
      <c r="Y1787" s="34" t="str">
        <f>HYPERLINK("https://api-enni.alpina.ru/FileCertificateProject/237","https://api-enni.alpina.ru/FileCertificateProject/237")</f>
        <v>https://api-enni.alpina.ru/FileCertificateProject/237</v>
      </c>
      <c r="Z1787" s="13"/>
      <c r="AT1787" s="1">
        <f t="shared" si="340"/>
        <v>0</v>
      </c>
      <c r="AU1787" s="1">
        <f t="shared" si="341"/>
        <v>0</v>
      </c>
      <c r="AV1787" s="1">
        <f t="shared" si="342"/>
        <v>0</v>
      </c>
      <c r="AW1787" s="1">
        <f t="shared" si="343"/>
        <v>0</v>
      </c>
      <c r="AX1787" s="1">
        <f t="shared" si="344"/>
        <v>0</v>
      </c>
    </row>
    <row r="1788" spans="1:50" s="1" customFormat="1" ht="24.95" customHeight="1" outlineLevel="3" x14ac:dyDescent="0.2">
      <c r="A1788" s="11"/>
      <c r="B1788" s="12">
        <v>490</v>
      </c>
      <c r="C1788" s="12">
        <v>490</v>
      </c>
      <c r="D1788" s="12">
        <v>23951</v>
      </c>
      <c r="E1788" s="13" t="s">
        <v>5728</v>
      </c>
      <c r="F1788" s="13" t="s">
        <v>5830</v>
      </c>
      <c r="G1788" s="13" t="s">
        <v>163</v>
      </c>
      <c r="H1788" s="13"/>
      <c r="I1788" s="12">
        <v>2022</v>
      </c>
      <c r="J1788" s="13" t="s">
        <v>5831</v>
      </c>
      <c r="K1788" s="12">
        <v>9785961473988</v>
      </c>
      <c r="L1788" s="13" t="s">
        <v>5832</v>
      </c>
      <c r="M1788" s="12">
        <v>40</v>
      </c>
      <c r="N1788" s="14">
        <v>0.21</v>
      </c>
      <c r="O1788" s="12">
        <v>168</v>
      </c>
      <c r="P1788" s="12">
        <v>221</v>
      </c>
      <c r="Q1788" s="12">
        <v>18</v>
      </c>
      <c r="R1788" s="13" t="s">
        <v>100</v>
      </c>
      <c r="S1788" s="13" t="s">
        <v>5732</v>
      </c>
      <c r="T1788" s="15">
        <v>3000</v>
      </c>
      <c r="U1788" s="13" t="s">
        <v>52</v>
      </c>
      <c r="V1788" s="13" t="s">
        <v>269</v>
      </c>
      <c r="W1788" s="12">
        <v>10</v>
      </c>
      <c r="X1788" s="33" t="str">
        <f>HYPERLINK("https://www.alpinabook.ru/catalog/book-maksander-i-drugaya-devochka","ссылка на книгу")</f>
        <v>ссылка на книгу</v>
      </c>
      <c r="Y1788" s="34" t="str">
        <f>HYPERLINK("https://api-enni.alpina.ru/FileCertificateProject/226","https://api-enni.alpina.ru/FileCertificateProject/226")</f>
        <v>https://api-enni.alpina.ru/FileCertificateProject/226</v>
      </c>
      <c r="Z1788" s="13"/>
      <c r="AT1788" s="1">
        <f t="shared" si="340"/>
        <v>0</v>
      </c>
      <c r="AU1788" s="1">
        <f t="shared" si="341"/>
        <v>0</v>
      </c>
      <c r="AV1788" s="1">
        <f t="shared" si="342"/>
        <v>0</v>
      </c>
      <c r="AW1788" s="1">
        <f t="shared" si="343"/>
        <v>0</v>
      </c>
      <c r="AX1788" s="1">
        <f t="shared" si="344"/>
        <v>0</v>
      </c>
    </row>
    <row r="1789" spans="1:50" s="1" customFormat="1" ht="24.95" customHeight="1" outlineLevel="3" x14ac:dyDescent="0.2">
      <c r="A1789" s="11"/>
      <c r="B1789" s="12">
        <v>790</v>
      </c>
      <c r="C1789" s="15">
        <v>1190</v>
      </c>
      <c r="D1789" s="12">
        <v>29760</v>
      </c>
      <c r="E1789" s="13" t="s">
        <v>5681</v>
      </c>
      <c r="F1789" s="13" t="s">
        <v>5833</v>
      </c>
      <c r="G1789" s="13" t="s">
        <v>163</v>
      </c>
      <c r="H1789" s="13"/>
      <c r="I1789" s="12">
        <v>2024</v>
      </c>
      <c r="J1789" s="13" t="s">
        <v>5834</v>
      </c>
      <c r="K1789" s="12">
        <v>9785961493894</v>
      </c>
      <c r="L1789" s="13" t="s">
        <v>5835</v>
      </c>
      <c r="M1789" s="12">
        <v>64</v>
      </c>
      <c r="N1789" s="14">
        <v>0.54</v>
      </c>
      <c r="O1789" s="12">
        <v>250</v>
      </c>
      <c r="P1789" s="12">
        <v>300</v>
      </c>
      <c r="Q1789" s="12">
        <v>12</v>
      </c>
      <c r="R1789" s="13" t="s">
        <v>94</v>
      </c>
      <c r="S1789" s="13"/>
      <c r="T1789" s="15">
        <v>5000</v>
      </c>
      <c r="U1789" s="13" t="s">
        <v>52</v>
      </c>
      <c r="V1789" s="13" t="s">
        <v>269</v>
      </c>
      <c r="W1789" s="12">
        <v>10</v>
      </c>
      <c r="X1789" s="33" t="str">
        <f>HYPERLINK("https://www.alpinabook.ru/catalog/book-mir-inzhenera-shukhova","ссылка на книгу")</f>
        <v>ссылка на книгу</v>
      </c>
      <c r="Y1789" s="34" t="str">
        <f>HYPERLINK("https://api-enni.alpina.ru/FileCertificateProject/527","https://api-enni.alpina.ru/FileCertificateProject/527")</f>
        <v>https://api-enni.alpina.ru/FileCertificateProject/527</v>
      </c>
      <c r="Z1789" s="13"/>
      <c r="AT1789" s="1">
        <f t="shared" si="340"/>
        <v>0</v>
      </c>
      <c r="AU1789" s="1">
        <f t="shared" si="341"/>
        <v>0</v>
      </c>
      <c r="AV1789" s="1">
        <f t="shared" si="342"/>
        <v>0</v>
      </c>
      <c r="AW1789" s="1">
        <f t="shared" si="343"/>
        <v>0</v>
      </c>
      <c r="AX1789" s="1">
        <f t="shared" si="344"/>
        <v>0</v>
      </c>
    </row>
    <row r="1790" spans="1:50" s="1" customFormat="1" ht="24.95" customHeight="1" outlineLevel="3" x14ac:dyDescent="0.2">
      <c r="A1790" s="11"/>
      <c r="B1790" s="12">
        <v>890</v>
      </c>
      <c r="C1790" s="15">
        <v>1290</v>
      </c>
      <c r="D1790" s="12">
        <v>31497</v>
      </c>
      <c r="E1790" s="13" t="s">
        <v>90</v>
      </c>
      <c r="F1790" s="13" t="s">
        <v>5836</v>
      </c>
      <c r="G1790" s="13" t="s">
        <v>163</v>
      </c>
      <c r="H1790" s="13"/>
      <c r="I1790" s="12">
        <v>2025</v>
      </c>
      <c r="J1790" s="13" t="s">
        <v>5837</v>
      </c>
      <c r="K1790" s="12">
        <v>9785961499056</v>
      </c>
      <c r="L1790" s="13" t="s">
        <v>5838</v>
      </c>
      <c r="M1790" s="12">
        <v>64</v>
      </c>
      <c r="N1790" s="14">
        <v>0.56000000000000005</v>
      </c>
      <c r="O1790" s="12">
        <v>250</v>
      </c>
      <c r="P1790" s="12">
        <v>300</v>
      </c>
      <c r="Q1790" s="12">
        <v>10</v>
      </c>
      <c r="R1790" s="13" t="s">
        <v>94</v>
      </c>
      <c r="S1790" s="13" t="s">
        <v>5839</v>
      </c>
      <c r="T1790" s="15">
        <v>3000</v>
      </c>
      <c r="U1790" s="13" t="s">
        <v>52</v>
      </c>
      <c r="V1790" s="13" t="s">
        <v>269</v>
      </c>
      <c r="W1790" s="12">
        <v>10</v>
      </c>
      <c r="X1790" s="33" t="str">
        <f>HYPERLINK("https://www.alpinabook.ru/catalog/book-mir-mekhanika-kulibina","ссылка на книгу")</f>
        <v>ссылка на книгу</v>
      </c>
      <c r="Y1790" s="34" t="str">
        <f>HYPERLINK("https://api-enni.alpina.ru/FileCertificateProject/745","https://api-enni.alpina.ru/FileCertificateProject/745")</f>
        <v>https://api-enni.alpina.ru/FileCertificateProject/745</v>
      </c>
      <c r="Z1790" s="13"/>
      <c r="AT1790" s="1">
        <f t="shared" si="340"/>
        <v>0</v>
      </c>
      <c r="AU1790" s="1">
        <f t="shared" si="341"/>
        <v>0</v>
      </c>
      <c r="AV1790" s="1">
        <f t="shared" si="342"/>
        <v>0</v>
      </c>
      <c r="AW1790" s="1">
        <f t="shared" si="343"/>
        <v>0</v>
      </c>
      <c r="AX1790" s="1">
        <f t="shared" si="344"/>
        <v>0</v>
      </c>
    </row>
    <row r="1791" spans="1:50" s="1" customFormat="1" ht="24.95" customHeight="1" outlineLevel="3" x14ac:dyDescent="0.2">
      <c r="A1791" s="11"/>
      <c r="B1791" s="12">
        <v>790</v>
      </c>
      <c r="C1791" s="15">
        <v>1190</v>
      </c>
      <c r="D1791" s="12">
        <v>29886</v>
      </c>
      <c r="E1791" s="13" t="s">
        <v>5840</v>
      </c>
      <c r="F1791" s="13" t="s">
        <v>5841</v>
      </c>
      <c r="G1791" s="13" t="s">
        <v>163</v>
      </c>
      <c r="H1791" s="13"/>
      <c r="I1791" s="12">
        <v>2024</v>
      </c>
      <c r="J1791" s="13" t="s">
        <v>5842</v>
      </c>
      <c r="K1791" s="12">
        <v>9785961494280</v>
      </c>
      <c r="L1791" s="13" t="s">
        <v>5843</v>
      </c>
      <c r="M1791" s="12">
        <v>64</v>
      </c>
      <c r="N1791" s="14">
        <v>0.52</v>
      </c>
      <c r="O1791" s="12">
        <v>250</v>
      </c>
      <c r="P1791" s="12">
        <v>300</v>
      </c>
      <c r="Q1791" s="12">
        <v>10</v>
      </c>
      <c r="R1791" s="13" t="s">
        <v>94</v>
      </c>
      <c r="S1791" s="13"/>
      <c r="T1791" s="15">
        <v>15000</v>
      </c>
      <c r="U1791" s="13" t="s">
        <v>52</v>
      </c>
      <c r="V1791" s="13" t="s">
        <v>269</v>
      </c>
      <c r="W1791" s="12">
        <v>10</v>
      </c>
      <c r="X1791" s="33" t="str">
        <f>HYPERLINK("https://www.alpinabook.ru/catalog/book-mir-uchyenogo-mendeleeva","ссылка на книгу")</f>
        <v>ссылка на книгу</v>
      </c>
      <c r="Y1791" s="34" t="str">
        <f>HYPERLINK("https://api-enni.alpina.ru/FileCertificateProject/360","https://api-enni.alpina.ru/FileCertificateProject/360")</f>
        <v>https://api-enni.alpina.ru/FileCertificateProject/360</v>
      </c>
      <c r="Z1791" s="13"/>
      <c r="AT1791" s="1">
        <f t="shared" si="340"/>
        <v>0</v>
      </c>
      <c r="AU1791" s="1">
        <f t="shared" si="341"/>
        <v>0</v>
      </c>
      <c r="AV1791" s="1">
        <f t="shared" si="342"/>
        <v>0</v>
      </c>
      <c r="AW1791" s="1">
        <f t="shared" si="343"/>
        <v>0</v>
      </c>
      <c r="AX1791" s="1">
        <f t="shared" si="344"/>
        <v>0</v>
      </c>
    </row>
    <row r="1792" spans="1:50" s="1" customFormat="1" ht="24.95" customHeight="1" outlineLevel="3" x14ac:dyDescent="0.2">
      <c r="A1792" s="11"/>
      <c r="B1792" s="12">
        <v>440</v>
      </c>
      <c r="C1792" s="12">
        <v>440</v>
      </c>
      <c r="D1792" s="12">
        <v>24839</v>
      </c>
      <c r="E1792" s="13" t="s">
        <v>5844</v>
      </c>
      <c r="F1792" s="13" t="s">
        <v>5845</v>
      </c>
      <c r="G1792" s="13" t="s">
        <v>163</v>
      </c>
      <c r="H1792" s="13"/>
      <c r="I1792" s="12">
        <v>2022</v>
      </c>
      <c r="J1792" s="13" t="s">
        <v>5846</v>
      </c>
      <c r="K1792" s="12">
        <v>9785961442793</v>
      </c>
      <c r="L1792" s="13" t="s">
        <v>5847</v>
      </c>
      <c r="M1792" s="12">
        <v>40</v>
      </c>
      <c r="N1792" s="14">
        <v>0.3</v>
      </c>
      <c r="O1792" s="12">
        <v>205</v>
      </c>
      <c r="P1792" s="12">
        <v>246</v>
      </c>
      <c r="Q1792" s="12">
        <v>15</v>
      </c>
      <c r="R1792" s="13" t="s">
        <v>167</v>
      </c>
      <c r="S1792" s="13"/>
      <c r="T1792" s="15">
        <v>2000</v>
      </c>
      <c r="U1792" s="13" t="s">
        <v>52</v>
      </c>
      <c r="V1792" s="13" t="s">
        <v>64</v>
      </c>
      <c r="W1792" s="12">
        <v>10</v>
      </c>
      <c r="X1792" s="33" t="str">
        <f>HYPERLINK("https://www.alpinabook.ru/catalog/book-chyernyy-nos","ссылка на книгу")</f>
        <v>ссылка на книгу</v>
      </c>
      <c r="Y1792" s="34" t="str">
        <f>HYPERLINK("https://api-enni.alpina.ru/FileCertificateProject/253","https://api-enni.alpina.ru/FileCertificateProject/253")</f>
        <v>https://api-enni.alpina.ru/FileCertificateProject/253</v>
      </c>
      <c r="Z1792" s="13"/>
      <c r="AT1792" s="1">
        <f t="shared" si="340"/>
        <v>0</v>
      </c>
      <c r="AU1792" s="1">
        <f t="shared" si="341"/>
        <v>0</v>
      </c>
      <c r="AV1792" s="1">
        <f t="shared" si="342"/>
        <v>0</v>
      </c>
      <c r="AW1792" s="1">
        <f t="shared" si="343"/>
        <v>0</v>
      </c>
      <c r="AX1792" s="1">
        <f t="shared" si="344"/>
        <v>0</v>
      </c>
    </row>
    <row r="1793" spans="1:50" s="1" customFormat="1" ht="24.95" customHeight="1" outlineLevel="3" x14ac:dyDescent="0.2">
      <c r="A1793" s="11"/>
      <c r="B1793" s="12">
        <v>890</v>
      </c>
      <c r="C1793" s="15">
        <v>1290</v>
      </c>
      <c r="D1793" s="12">
        <v>31819</v>
      </c>
      <c r="E1793" s="13" t="s">
        <v>5848</v>
      </c>
      <c r="F1793" s="13" t="s">
        <v>5849</v>
      </c>
      <c r="G1793" s="13" t="s">
        <v>163</v>
      </c>
      <c r="H1793" s="13" t="s">
        <v>40</v>
      </c>
      <c r="I1793" s="12">
        <v>2025</v>
      </c>
      <c r="J1793" s="13" t="s">
        <v>5850</v>
      </c>
      <c r="K1793" s="12">
        <v>9785006300293</v>
      </c>
      <c r="L1793" s="13" t="s">
        <v>5851</v>
      </c>
      <c r="M1793" s="12">
        <v>88</v>
      </c>
      <c r="N1793" s="14">
        <v>0.56999999999999995</v>
      </c>
      <c r="O1793" s="12">
        <v>240</v>
      </c>
      <c r="P1793" s="12">
        <v>310</v>
      </c>
      <c r="Q1793" s="12">
        <v>10</v>
      </c>
      <c r="R1793" s="13" t="s">
        <v>167</v>
      </c>
      <c r="S1793" s="13"/>
      <c r="T1793" s="15">
        <v>3000</v>
      </c>
      <c r="U1793" s="13" t="s">
        <v>52</v>
      </c>
      <c r="V1793" s="13" t="s">
        <v>269</v>
      </c>
      <c r="W1793" s="12">
        <v>10</v>
      </c>
      <c r="X1793" s="33" t="str">
        <f>HYPERLINK("https://www.alpinabook.ru/catalog/book-na-vershine-mira","ссылка на книгу")</f>
        <v>ссылка на книгу</v>
      </c>
      <c r="Y1793" s="34" t="str">
        <f>HYPERLINK("","")</f>
        <v/>
      </c>
      <c r="Z1793" s="13" t="s">
        <v>661</v>
      </c>
      <c r="AT1793" s="1">
        <f t="shared" si="340"/>
        <v>0</v>
      </c>
      <c r="AU1793" s="1">
        <f t="shared" si="341"/>
        <v>0</v>
      </c>
      <c r="AV1793" s="1">
        <f t="shared" si="342"/>
        <v>0</v>
      </c>
      <c r="AW1793" s="1">
        <f t="shared" si="343"/>
        <v>0</v>
      </c>
      <c r="AX1793" s="1">
        <f t="shared" si="344"/>
        <v>0</v>
      </c>
    </row>
    <row r="1794" spans="1:50" s="1" customFormat="1" ht="24.95" customHeight="1" outlineLevel="3" x14ac:dyDescent="0.2">
      <c r="A1794" s="11"/>
      <c r="B1794" s="12">
        <v>440</v>
      </c>
      <c r="C1794" s="12">
        <v>440</v>
      </c>
      <c r="D1794" s="12">
        <v>23506</v>
      </c>
      <c r="E1794" s="13" t="s">
        <v>5685</v>
      </c>
      <c r="F1794" s="13" t="s">
        <v>5852</v>
      </c>
      <c r="G1794" s="13" t="s">
        <v>163</v>
      </c>
      <c r="H1794" s="13"/>
      <c r="I1794" s="12">
        <v>2021</v>
      </c>
      <c r="J1794" s="13" t="s">
        <v>5853</v>
      </c>
      <c r="K1794" s="12">
        <v>9785961473322</v>
      </c>
      <c r="L1794" s="13" t="s">
        <v>5854</v>
      </c>
      <c r="M1794" s="12">
        <v>32</v>
      </c>
      <c r="N1794" s="14">
        <v>0.28999999999999998</v>
      </c>
      <c r="O1794" s="12">
        <v>204</v>
      </c>
      <c r="P1794" s="12">
        <v>206</v>
      </c>
      <c r="Q1794" s="12">
        <v>20</v>
      </c>
      <c r="R1794" s="13" t="s">
        <v>167</v>
      </c>
      <c r="S1794" s="13"/>
      <c r="T1794" s="15">
        <v>3500</v>
      </c>
      <c r="U1794" s="13" t="s">
        <v>52</v>
      </c>
      <c r="V1794" s="13" t="s">
        <v>64</v>
      </c>
      <c r="W1794" s="12">
        <v>10</v>
      </c>
      <c r="X1794" s="33" t="str">
        <f>HYPERLINK("https://www.alpinabook.ru/catalog/book-obnimi-menya","ссылка на книгу")</f>
        <v>ссылка на книгу</v>
      </c>
      <c r="Y1794" s="34" t="str">
        <f>HYPERLINK("https://api-enni.alpina.ru/FileCertificateProject/21","https://api-enni.alpina.ru/FileCertificateProject/21")</f>
        <v>https://api-enni.alpina.ru/FileCertificateProject/21</v>
      </c>
      <c r="Z1794" s="13"/>
      <c r="AT1794" s="1">
        <f t="shared" si="340"/>
        <v>0</v>
      </c>
      <c r="AU1794" s="1">
        <f t="shared" si="341"/>
        <v>0</v>
      </c>
      <c r="AV1794" s="1">
        <f t="shared" si="342"/>
        <v>0</v>
      </c>
      <c r="AW1794" s="1">
        <f t="shared" si="343"/>
        <v>0</v>
      </c>
      <c r="AX1794" s="1">
        <f t="shared" si="344"/>
        <v>0</v>
      </c>
    </row>
    <row r="1795" spans="1:50" s="1" customFormat="1" ht="21.95" customHeight="1" outlineLevel="3" x14ac:dyDescent="0.2">
      <c r="A1795" s="11"/>
      <c r="B1795" s="12">
        <v>440</v>
      </c>
      <c r="C1795" s="12">
        <v>690</v>
      </c>
      <c r="D1795" s="12">
        <v>26867</v>
      </c>
      <c r="E1795" s="13" t="s">
        <v>5685</v>
      </c>
      <c r="F1795" s="13" t="s">
        <v>5855</v>
      </c>
      <c r="G1795" s="13" t="s">
        <v>163</v>
      </c>
      <c r="H1795" s="13"/>
      <c r="I1795" s="12">
        <v>2023</v>
      </c>
      <c r="J1795" s="13" t="s">
        <v>5856</v>
      </c>
      <c r="K1795" s="12">
        <v>9785961483208</v>
      </c>
      <c r="L1795" s="13" t="s">
        <v>5857</v>
      </c>
      <c r="M1795" s="12">
        <v>48</v>
      </c>
      <c r="N1795" s="14">
        <v>0.3</v>
      </c>
      <c r="O1795" s="12">
        <v>210</v>
      </c>
      <c r="P1795" s="12">
        <v>210</v>
      </c>
      <c r="Q1795" s="12">
        <v>15</v>
      </c>
      <c r="R1795" s="13" t="s">
        <v>300</v>
      </c>
      <c r="S1795" s="13"/>
      <c r="T1795" s="15">
        <v>3500</v>
      </c>
      <c r="U1795" s="13" t="s">
        <v>52</v>
      </c>
      <c r="V1795" s="13" t="s">
        <v>5626</v>
      </c>
      <c r="W1795" s="12">
        <v>10</v>
      </c>
      <c r="X1795" s="33" t="str">
        <f>HYPERLINK("https://www.alpinabook.ru/catalog/book-obnimi-menya-obnimashka","ссылка на книгу")</f>
        <v>ссылка на книгу</v>
      </c>
      <c r="Y1795" s="34" t="str">
        <f>HYPERLINK("","")</f>
        <v/>
      </c>
      <c r="Z1795" s="13"/>
      <c r="AT1795" s="1">
        <f t="shared" si="340"/>
        <v>0</v>
      </c>
      <c r="AU1795" s="1">
        <f t="shared" si="341"/>
        <v>0</v>
      </c>
      <c r="AV1795" s="1">
        <f t="shared" si="342"/>
        <v>0</v>
      </c>
      <c r="AW1795" s="1">
        <f t="shared" si="343"/>
        <v>0</v>
      </c>
      <c r="AX1795" s="1">
        <f t="shared" si="344"/>
        <v>0</v>
      </c>
    </row>
    <row r="1796" spans="1:50" s="1" customFormat="1" ht="24.95" customHeight="1" outlineLevel="3" x14ac:dyDescent="0.2">
      <c r="A1796" s="11"/>
      <c r="B1796" s="12">
        <v>490</v>
      </c>
      <c r="C1796" s="12">
        <v>490</v>
      </c>
      <c r="D1796" s="12">
        <v>25436</v>
      </c>
      <c r="E1796" s="13" t="s">
        <v>5858</v>
      </c>
      <c r="F1796" s="13" t="s">
        <v>5859</v>
      </c>
      <c r="G1796" s="13" t="s">
        <v>163</v>
      </c>
      <c r="H1796" s="13" t="s">
        <v>40</v>
      </c>
      <c r="I1796" s="12">
        <v>2023</v>
      </c>
      <c r="J1796" s="13" t="s">
        <v>5860</v>
      </c>
      <c r="K1796" s="12">
        <v>9785961481815</v>
      </c>
      <c r="L1796" s="13" t="s">
        <v>5861</v>
      </c>
      <c r="M1796" s="12">
        <v>40</v>
      </c>
      <c r="N1796" s="14">
        <v>0.34</v>
      </c>
      <c r="O1796" s="12">
        <v>206</v>
      </c>
      <c r="P1796" s="12">
        <v>256</v>
      </c>
      <c r="Q1796" s="12">
        <v>12</v>
      </c>
      <c r="R1796" s="13" t="s">
        <v>300</v>
      </c>
      <c r="S1796" s="13" t="s">
        <v>5862</v>
      </c>
      <c r="T1796" s="15">
        <v>2000</v>
      </c>
      <c r="U1796" s="13" t="s">
        <v>52</v>
      </c>
      <c r="V1796" s="13" t="s">
        <v>5626</v>
      </c>
      <c r="W1796" s="12">
        <v>10</v>
      </c>
      <c r="X1796" s="33" t="str">
        <f>HYPERLINK("https://www.alpinabook.ru/catalog/book-planiruy-kak-panda-pula","ссылка на книгу")</f>
        <v>ссылка на книгу</v>
      </c>
      <c r="Y1796" s="34" t="str">
        <f>HYPERLINK("https://api-enni.alpina.ru/FileCertificateProject/519","https://api-enni.alpina.ru/FileCertificateProject/519")</f>
        <v>https://api-enni.alpina.ru/FileCertificateProject/519</v>
      </c>
      <c r="Z1796" s="13"/>
      <c r="AT1796" s="1">
        <f t="shared" si="340"/>
        <v>0</v>
      </c>
      <c r="AU1796" s="1">
        <f t="shared" si="341"/>
        <v>0</v>
      </c>
      <c r="AV1796" s="1">
        <f t="shared" si="342"/>
        <v>0</v>
      </c>
      <c r="AW1796" s="1">
        <f t="shared" si="343"/>
        <v>0</v>
      </c>
      <c r="AX1796" s="1">
        <f t="shared" si="344"/>
        <v>0</v>
      </c>
    </row>
    <row r="1797" spans="1:50" s="1" customFormat="1" ht="21.95" customHeight="1" outlineLevel="3" x14ac:dyDescent="0.2">
      <c r="A1797" s="11"/>
      <c r="B1797" s="12">
        <v>740</v>
      </c>
      <c r="C1797" s="12">
        <v>740</v>
      </c>
      <c r="D1797" s="12">
        <v>24448</v>
      </c>
      <c r="E1797" s="13" t="s">
        <v>5863</v>
      </c>
      <c r="F1797" s="13" t="s">
        <v>5864</v>
      </c>
      <c r="G1797" s="13" t="s">
        <v>163</v>
      </c>
      <c r="H1797" s="13"/>
      <c r="I1797" s="12">
        <v>2022</v>
      </c>
      <c r="J1797" s="13" t="s">
        <v>5865</v>
      </c>
      <c r="K1797" s="12">
        <v>9785907534292</v>
      </c>
      <c r="L1797" s="13" t="s">
        <v>5866</v>
      </c>
      <c r="M1797" s="12">
        <v>64</v>
      </c>
      <c r="N1797" s="14">
        <v>0.46</v>
      </c>
      <c r="O1797" s="12">
        <v>220</v>
      </c>
      <c r="P1797" s="12">
        <v>286</v>
      </c>
      <c r="Q1797" s="12">
        <v>12</v>
      </c>
      <c r="R1797" s="13" t="s">
        <v>167</v>
      </c>
      <c r="S1797" s="13"/>
      <c r="T1797" s="15">
        <v>3000</v>
      </c>
      <c r="U1797" s="13" t="s">
        <v>52</v>
      </c>
      <c r="V1797" s="13" t="s">
        <v>59</v>
      </c>
      <c r="W1797" s="12">
        <v>10</v>
      </c>
      <c r="X1797" s="33" t="str">
        <f>HYPERLINK("https://www.alpinabook.ru/catalog/book-plyusy-i-minusy-chto-takoe-elektroenergiya","ссылка на книгу")</f>
        <v>ссылка на книгу</v>
      </c>
      <c r="Y1797" s="34" t="str">
        <f>HYPERLINK("","")</f>
        <v/>
      </c>
      <c r="Z1797" s="13"/>
      <c r="AT1797" s="1">
        <f t="shared" si="340"/>
        <v>0</v>
      </c>
      <c r="AU1797" s="1">
        <f t="shared" si="341"/>
        <v>0</v>
      </c>
      <c r="AV1797" s="1">
        <f t="shared" si="342"/>
        <v>0</v>
      </c>
      <c r="AW1797" s="1">
        <f t="shared" si="343"/>
        <v>0</v>
      </c>
      <c r="AX1797" s="1">
        <f t="shared" si="344"/>
        <v>0</v>
      </c>
    </row>
    <row r="1798" spans="1:50" s="1" customFormat="1" ht="24.95" customHeight="1" outlineLevel="3" x14ac:dyDescent="0.2">
      <c r="A1798" s="11"/>
      <c r="B1798" s="12">
        <v>890</v>
      </c>
      <c r="C1798" s="15">
        <v>1290</v>
      </c>
      <c r="D1798" s="12">
        <v>31465</v>
      </c>
      <c r="E1798" s="13" t="s">
        <v>5867</v>
      </c>
      <c r="F1798" s="13" t="s">
        <v>5868</v>
      </c>
      <c r="G1798" s="13" t="s">
        <v>163</v>
      </c>
      <c r="H1798" s="13" t="s">
        <v>40</v>
      </c>
      <c r="I1798" s="12">
        <v>2025</v>
      </c>
      <c r="J1798" s="13" t="s">
        <v>5869</v>
      </c>
      <c r="K1798" s="12">
        <v>9785961498868</v>
      </c>
      <c r="L1798" s="13" t="s">
        <v>5870</v>
      </c>
      <c r="M1798" s="12">
        <v>104</v>
      </c>
      <c r="N1798" s="14">
        <v>0.64</v>
      </c>
      <c r="O1798" s="12">
        <v>240</v>
      </c>
      <c r="P1798" s="12">
        <v>310</v>
      </c>
      <c r="Q1798" s="12">
        <v>6</v>
      </c>
      <c r="R1798" s="13" t="s">
        <v>167</v>
      </c>
      <c r="S1798" s="13"/>
      <c r="T1798" s="15">
        <v>2000</v>
      </c>
      <c r="U1798" s="13" t="s">
        <v>52</v>
      </c>
      <c r="V1798" s="13" t="s">
        <v>269</v>
      </c>
      <c r="W1798" s="12">
        <v>10</v>
      </c>
      <c r="X1798" s="33" t="str">
        <f>HYPERLINK("https://www.alpinabook.ru/catalog/book-potryasayushchaya-stikhiya","ссылка на книгу")</f>
        <v>ссылка на книгу</v>
      </c>
      <c r="Y1798" s="34" t="str">
        <f>HYPERLINK("","")</f>
        <v/>
      </c>
      <c r="Z1798" s="13" t="s">
        <v>5187</v>
      </c>
      <c r="AT1798" s="1">
        <f t="shared" si="340"/>
        <v>0</v>
      </c>
      <c r="AU1798" s="1">
        <f t="shared" si="341"/>
        <v>0</v>
      </c>
      <c r="AV1798" s="1">
        <f t="shared" si="342"/>
        <v>0</v>
      </c>
      <c r="AW1798" s="1">
        <f t="shared" si="343"/>
        <v>0</v>
      </c>
      <c r="AX1798" s="1">
        <f t="shared" si="344"/>
        <v>0</v>
      </c>
    </row>
    <row r="1799" spans="1:50" s="1" customFormat="1" ht="24.95" customHeight="1" outlineLevel="3" x14ac:dyDescent="0.2">
      <c r="A1799" s="11"/>
      <c r="B1799" s="12">
        <v>750</v>
      </c>
      <c r="C1799" s="15">
        <v>1090</v>
      </c>
      <c r="D1799" s="12">
        <v>31417</v>
      </c>
      <c r="E1799" s="13" t="s">
        <v>5871</v>
      </c>
      <c r="F1799" s="13" t="s">
        <v>5872</v>
      </c>
      <c r="G1799" s="13" t="s">
        <v>163</v>
      </c>
      <c r="H1799" s="13"/>
      <c r="I1799" s="12">
        <v>2025</v>
      </c>
      <c r="J1799" s="13" t="s">
        <v>5873</v>
      </c>
      <c r="K1799" s="12">
        <v>9785961498615</v>
      </c>
      <c r="L1799" s="13" t="s">
        <v>5874</v>
      </c>
      <c r="M1799" s="12">
        <v>72</v>
      </c>
      <c r="N1799" s="14">
        <v>0.47</v>
      </c>
      <c r="O1799" s="12">
        <v>230</v>
      </c>
      <c r="P1799" s="12">
        <v>300</v>
      </c>
      <c r="Q1799" s="12">
        <v>10</v>
      </c>
      <c r="R1799" s="13" t="s">
        <v>167</v>
      </c>
      <c r="S1799" s="13" t="s">
        <v>5875</v>
      </c>
      <c r="T1799" s="15">
        <v>3000</v>
      </c>
      <c r="U1799" s="13" t="s">
        <v>52</v>
      </c>
      <c r="V1799" s="13" t="s">
        <v>269</v>
      </c>
      <c r="W1799" s="12">
        <v>10</v>
      </c>
      <c r="X1799" s="33" t="str">
        <f>HYPERLINK("https://www.alpinabook.ru/catalog/book-professiya-paleontolog","ссылка на книгу")</f>
        <v>ссылка на книгу</v>
      </c>
      <c r="Y1799" s="34" t="str">
        <f>HYPERLINK("","")</f>
        <v/>
      </c>
      <c r="Z1799" s="13"/>
      <c r="AT1799" s="1">
        <f t="shared" si="340"/>
        <v>0</v>
      </c>
      <c r="AU1799" s="1">
        <f t="shared" si="341"/>
        <v>0</v>
      </c>
      <c r="AV1799" s="1">
        <f t="shared" si="342"/>
        <v>0</v>
      </c>
      <c r="AW1799" s="1">
        <f t="shared" si="343"/>
        <v>0</v>
      </c>
      <c r="AX1799" s="1">
        <f t="shared" si="344"/>
        <v>0</v>
      </c>
    </row>
    <row r="1800" spans="1:50" s="1" customFormat="1" ht="24.95" customHeight="1" outlineLevel="3" x14ac:dyDescent="0.2">
      <c r="A1800" s="11"/>
      <c r="B1800" s="12">
        <v>690</v>
      </c>
      <c r="C1800" s="12">
        <v>990</v>
      </c>
      <c r="D1800" s="12">
        <v>30674</v>
      </c>
      <c r="E1800" s="13" t="s">
        <v>5876</v>
      </c>
      <c r="F1800" s="13" t="s">
        <v>5877</v>
      </c>
      <c r="G1800" s="13" t="s">
        <v>163</v>
      </c>
      <c r="H1800" s="13" t="s">
        <v>164</v>
      </c>
      <c r="I1800" s="12">
        <v>2024</v>
      </c>
      <c r="J1800" s="13" t="s">
        <v>5878</v>
      </c>
      <c r="K1800" s="12">
        <v>9785961496178</v>
      </c>
      <c r="L1800" s="13" t="s">
        <v>5879</v>
      </c>
      <c r="M1800" s="12">
        <v>80</v>
      </c>
      <c r="N1800" s="14">
        <v>0.43</v>
      </c>
      <c r="O1800" s="12">
        <v>210</v>
      </c>
      <c r="P1800" s="12">
        <v>270</v>
      </c>
      <c r="Q1800" s="12">
        <v>10</v>
      </c>
      <c r="R1800" s="13" t="s">
        <v>167</v>
      </c>
      <c r="S1800" s="13"/>
      <c r="T1800" s="15">
        <v>3000</v>
      </c>
      <c r="U1800" s="13" t="s">
        <v>52</v>
      </c>
      <c r="V1800" s="13" t="s">
        <v>59</v>
      </c>
      <c r="W1800" s="12">
        <v>10</v>
      </c>
      <c r="X1800" s="33" t="str">
        <f>HYPERLINK("https://www.alpinabook.ru/catalog/book-puteshestvie-vo-vremeni","ссылка на книгу")</f>
        <v>ссылка на книгу</v>
      </c>
      <c r="Y1800" s="34" t="str">
        <f>HYPERLINK("https://api-enni.alpina.ru/FileCertificateProject/401","https://api-enni.alpina.ru/FileCertificateProject/401")</f>
        <v>https://api-enni.alpina.ru/FileCertificateProject/401</v>
      </c>
      <c r="Z1800" s="13"/>
      <c r="AT1800" s="1">
        <f t="shared" si="340"/>
        <v>0</v>
      </c>
      <c r="AU1800" s="1">
        <f t="shared" si="341"/>
        <v>0</v>
      </c>
      <c r="AV1800" s="1">
        <f t="shared" si="342"/>
        <v>0</v>
      </c>
      <c r="AW1800" s="1">
        <f t="shared" si="343"/>
        <v>0</v>
      </c>
      <c r="AX1800" s="1">
        <f t="shared" si="344"/>
        <v>0</v>
      </c>
    </row>
    <row r="1801" spans="1:50" s="1" customFormat="1" ht="24.95" customHeight="1" outlineLevel="3" x14ac:dyDescent="0.2">
      <c r="A1801" s="11"/>
      <c r="B1801" s="12">
        <v>420</v>
      </c>
      <c r="C1801" s="12">
        <v>640</v>
      </c>
      <c r="D1801" s="12">
        <v>28829</v>
      </c>
      <c r="E1801" s="13" t="s">
        <v>5880</v>
      </c>
      <c r="F1801" s="13" t="s">
        <v>5881</v>
      </c>
      <c r="G1801" s="13" t="s">
        <v>163</v>
      </c>
      <c r="H1801" s="13"/>
      <c r="I1801" s="12">
        <v>2024</v>
      </c>
      <c r="J1801" s="13" t="s">
        <v>5882</v>
      </c>
      <c r="K1801" s="12">
        <v>9785961490206</v>
      </c>
      <c r="L1801" s="13" t="s">
        <v>5883</v>
      </c>
      <c r="M1801" s="12">
        <v>48</v>
      </c>
      <c r="N1801" s="14">
        <v>0.43</v>
      </c>
      <c r="O1801" s="12">
        <v>220</v>
      </c>
      <c r="P1801" s="12">
        <v>280</v>
      </c>
      <c r="Q1801" s="12">
        <v>15</v>
      </c>
      <c r="R1801" s="13" t="s">
        <v>300</v>
      </c>
      <c r="S1801" s="13" t="s">
        <v>5884</v>
      </c>
      <c r="T1801" s="15">
        <v>3000</v>
      </c>
      <c r="U1801" s="13" t="s">
        <v>52</v>
      </c>
      <c r="V1801" s="13" t="s">
        <v>5626</v>
      </c>
      <c r="W1801" s="12">
        <v>10</v>
      </c>
      <c r="X1801" s="33" t="str">
        <f>HYPERLINK("https://www.alpinabook.ru/catalog/book-pchyelka-khani-i-ostrov-malinovoy-gory","ссылка на книгу")</f>
        <v>ссылка на книгу</v>
      </c>
      <c r="Y1801" s="34" t="str">
        <f>HYPERLINK("https://api-enni.alpina.ru/FileCertificateProject/743","https://api-enni.alpina.ru/FileCertificateProject/743")</f>
        <v>https://api-enni.alpina.ru/FileCertificateProject/743</v>
      </c>
      <c r="Z1801" s="13"/>
      <c r="AT1801" s="1">
        <f t="shared" si="340"/>
        <v>0</v>
      </c>
      <c r="AU1801" s="1">
        <f t="shared" si="341"/>
        <v>0</v>
      </c>
      <c r="AV1801" s="1">
        <f t="shared" si="342"/>
        <v>0</v>
      </c>
      <c r="AW1801" s="1">
        <f t="shared" si="343"/>
        <v>0</v>
      </c>
      <c r="AX1801" s="1">
        <f t="shared" si="344"/>
        <v>0</v>
      </c>
    </row>
    <row r="1802" spans="1:50" s="1" customFormat="1" ht="24.95" customHeight="1" outlineLevel="3" x14ac:dyDescent="0.2">
      <c r="A1802" s="11"/>
      <c r="B1802" s="12">
        <v>640</v>
      </c>
      <c r="C1802" s="12">
        <v>940</v>
      </c>
      <c r="D1802" s="12">
        <v>29624</v>
      </c>
      <c r="E1802" s="13" t="s">
        <v>5587</v>
      </c>
      <c r="F1802" s="13" t="s">
        <v>5885</v>
      </c>
      <c r="G1802" s="13" t="s">
        <v>163</v>
      </c>
      <c r="H1802" s="13"/>
      <c r="I1802" s="12">
        <v>2025</v>
      </c>
      <c r="J1802" s="13" t="s">
        <v>5886</v>
      </c>
      <c r="K1802" s="12">
        <v>9785961493177</v>
      </c>
      <c r="L1802" s="13" t="s">
        <v>5887</v>
      </c>
      <c r="M1802" s="12">
        <v>56</v>
      </c>
      <c r="N1802" s="14">
        <v>0.33</v>
      </c>
      <c r="O1802" s="12">
        <v>170</v>
      </c>
      <c r="P1802" s="12">
        <v>240</v>
      </c>
      <c r="Q1802" s="12">
        <v>16</v>
      </c>
      <c r="R1802" s="13" t="s">
        <v>94</v>
      </c>
      <c r="S1802" s="13"/>
      <c r="T1802" s="15">
        <v>2000</v>
      </c>
      <c r="U1802" s="13" t="s">
        <v>52</v>
      </c>
      <c r="V1802" s="13" t="s">
        <v>269</v>
      </c>
      <c r="W1802" s="12">
        <v>10</v>
      </c>
      <c r="X1802" s="33" t="str">
        <f>HYPERLINK("https://www.alpinabook.ru/catalog/book-rabota-nad-oshibkami","ссылка на книгу")</f>
        <v>ссылка на книгу</v>
      </c>
      <c r="Y1802" s="34" t="str">
        <f>HYPERLINK("https://api-enni.alpina.ru/FileCertificateProject/537","https://api-enni.alpina.ru/FileCertificateProject/537")</f>
        <v>https://api-enni.alpina.ru/FileCertificateProject/537</v>
      </c>
      <c r="Z1802" s="13" t="s">
        <v>5757</v>
      </c>
      <c r="AT1802" s="1">
        <f t="shared" si="340"/>
        <v>0</v>
      </c>
      <c r="AU1802" s="1">
        <f t="shared" si="341"/>
        <v>0</v>
      </c>
      <c r="AV1802" s="1">
        <f t="shared" si="342"/>
        <v>0</v>
      </c>
      <c r="AW1802" s="1">
        <f t="shared" si="343"/>
        <v>0</v>
      </c>
      <c r="AX1802" s="1">
        <f t="shared" si="344"/>
        <v>0</v>
      </c>
    </row>
    <row r="1803" spans="1:50" s="1" customFormat="1" ht="24.95" customHeight="1" outlineLevel="3" x14ac:dyDescent="0.2">
      <c r="A1803" s="11"/>
      <c r="B1803" s="12">
        <v>690</v>
      </c>
      <c r="C1803" s="12">
        <v>990</v>
      </c>
      <c r="D1803" s="12">
        <v>28588</v>
      </c>
      <c r="E1803" s="13" t="s">
        <v>5888</v>
      </c>
      <c r="F1803" s="13" t="s">
        <v>5889</v>
      </c>
      <c r="G1803" s="13" t="s">
        <v>163</v>
      </c>
      <c r="H1803" s="13"/>
      <c r="I1803" s="12">
        <v>2024</v>
      </c>
      <c r="J1803" s="13" t="s">
        <v>5890</v>
      </c>
      <c r="K1803" s="12">
        <v>9785961489927</v>
      </c>
      <c r="L1803" s="13" t="s">
        <v>5891</v>
      </c>
      <c r="M1803" s="12">
        <v>120</v>
      </c>
      <c r="N1803" s="14">
        <v>0.41</v>
      </c>
      <c r="O1803" s="12">
        <v>170</v>
      </c>
      <c r="P1803" s="12">
        <v>250</v>
      </c>
      <c r="Q1803" s="12">
        <v>10</v>
      </c>
      <c r="R1803" s="13" t="s">
        <v>100</v>
      </c>
      <c r="S1803" s="13"/>
      <c r="T1803" s="15">
        <v>3000</v>
      </c>
      <c r="U1803" s="13" t="s">
        <v>52</v>
      </c>
      <c r="V1803" s="13" t="s">
        <v>59</v>
      </c>
      <c r="W1803" s="12">
        <v>10</v>
      </c>
      <c r="X1803" s="33" t="str">
        <f>HYPERLINK("https://www.alpinabook.ru/catalog/book-raspletaya-dnk-uvlekatelnyy-putevoditel-po-genetike","ссылка на книгу")</f>
        <v>ссылка на книгу</v>
      </c>
      <c r="Y1803" s="34" t="str">
        <f>HYPERLINK("https://api-enni.alpina.ru/FileCertificateProject/417","https://api-enni.alpina.ru/FileCertificateProject/417")</f>
        <v>https://api-enni.alpina.ru/FileCertificateProject/417</v>
      </c>
      <c r="Z1803" s="13"/>
      <c r="AT1803" s="1">
        <f t="shared" si="340"/>
        <v>0</v>
      </c>
      <c r="AU1803" s="1">
        <f t="shared" si="341"/>
        <v>0</v>
      </c>
      <c r="AV1803" s="1">
        <f t="shared" si="342"/>
        <v>0</v>
      </c>
      <c r="AW1803" s="1">
        <f t="shared" si="343"/>
        <v>0</v>
      </c>
      <c r="AX1803" s="1">
        <f t="shared" si="344"/>
        <v>0</v>
      </c>
    </row>
    <row r="1804" spans="1:50" s="1" customFormat="1" ht="24.95" customHeight="1" outlineLevel="3" x14ac:dyDescent="0.2">
      <c r="A1804" s="11"/>
      <c r="B1804" s="12">
        <v>440</v>
      </c>
      <c r="C1804" s="12">
        <v>690</v>
      </c>
      <c r="D1804" s="12">
        <v>30880</v>
      </c>
      <c r="E1804" s="13" t="s">
        <v>5892</v>
      </c>
      <c r="F1804" s="13" t="s">
        <v>5893</v>
      </c>
      <c r="G1804" s="13" t="s">
        <v>163</v>
      </c>
      <c r="H1804" s="13" t="s">
        <v>164</v>
      </c>
      <c r="I1804" s="12">
        <v>2024</v>
      </c>
      <c r="J1804" s="13" t="s">
        <v>5894</v>
      </c>
      <c r="K1804" s="12">
        <v>9785961496864</v>
      </c>
      <c r="L1804" s="13" t="s">
        <v>5895</v>
      </c>
      <c r="M1804" s="12">
        <v>32</v>
      </c>
      <c r="N1804" s="14">
        <v>0.25</v>
      </c>
      <c r="O1804" s="12">
        <v>220</v>
      </c>
      <c r="P1804" s="12">
        <v>220</v>
      </c>
      <c r="Q1804" s="12">
        <v>18</v>
      </c>
      <c r="R1804" s="13" t="s">
        <v>167</v>
      </c>
      <c r="S1804" s="13"/>
      <c r="T1804" s="15">
        <v>3000</v>
      </c>
      <c r="U1804" s="13" t="s">
        <v>52</v>
      </c>
      <c r="V1804" s="13" t="s">
        <v>64</v>
      </c>
      <c r="W1804" s="12">
        <v>10</v>
      </c>
      <c r="X1804" s="33" t="str">
        <f>HYPERLINK("https://www.alpinabook.ru/catalog/book-roem-gruzim-stroim","ссылка на книгу")</f>
        <v>ссылка на книгу</v>
      </c>
      <c r="Y1804" s="34" t="str">
        <f>HYPERLINK("https://api-enni.alpina.ru/FileCertificateProject/737","https://api-enni.alpina.ru/FileCertificateProject/737")</f>
        <v>https://api-enni.alpina.ru/FileCertificateProject/737</v>
      </c>
      <c r="Z1804" s="13"/>
      <c r="AT1804" s="1">
        <f t="shared" si="340"/>
        <v>0</v>
      </c>
      <c r="AU1804" s="1">
        <f t="shared" si="341"/>
        <v>0</v>
      </c>
      <c r="AV1804" s="1">
        <f t="shared" si="342"/>
        <v>0</v>
      </c>
      <c r="AW1804" s="1">
        <f t="shared" si="343"/>
        <v>0</v>
      </c>
      <c r="AX1804" s="1">
        <f t="shared" si="344"/>
        <v>0</v>
      </c>
    </row>
    <row r="1805" spans="1:50" s="1" customFormat="1" ht="24.95" customHeight="1" outlineLevel="3" x14ac:dyDescent="0.2">
      <c r="A1805" s="11"/>
      <c r="B1805" s="12">
        <v>490</v>
      </c>
      <c r="C1805" s="12">
        <v>490</v>
      </c>
      <c r="D1805" s="12">
        <v>23437</v>
      </c>
      <c r="E1805" s="13" t="s">
        <v>5896</v>
      </c>
      <c r="F1805" s="13" t="s">
        <v>5897</v>
      </c>
      <c r="G1805" s="13" t="s">
        <v>163</v>
      </c>
      <c r="H1805" s="13"/>
      <c r="I1805" s="12">
        <v>2022</v>
      </c>
      <c r="J1805" s="13" t="s">
        <v>5898</v>
      </c>
      <c r="K1805" s="12">
        <v>9785961472691</v>
      </c>
      <c r="L1805" s="13" t="s">
        <v>5899</v>
      </c>
      <c r="M1805" s="12">
        <v>72</v>
      </c>
      <c r="N1805" s="14">
        <v>0.44</v>
      </c>
      <c r="O1805" s="12">
        <v>201</v>
      </c>
      <c r="P1805" s="12">
        <v>263</v>
      </c>
      <c r="Q1805" s="12">
        <v>12</v>
      </c>
      <c r="R1805" s="13" t="s">
        <v>300</v>
      </c>
      <c r="S1805" s="13"/>
      <c r="T1805" s="15">
        <v>2000</v>
      </c>
      <c r="U1805" s="13" t="s">
        <v>52</v>
      </c>
      <c r="V1805" s="13" t="s">
        <v>269</v>
      </c>
      <c r="W1805" s="12">
        <v>10</v>
      </c>
      <c r="X1805" s="33" t="str">
        <f>HYPERLINK("https://www.alpinabook.ru/catalog/book-samyy-vozdushnyy-shar-v-mire","ссылка на книгу")</f>
        <v>ссылка на книгу</v>
      </c>
      <c r="Y1805" s="34" t="str">
        <f>HYPERLINK("https://api-enni.alpina.ru/FileCertificateProject/18","https://api-enni.alpina.ru/FileCertificateProject/18")</f>
        <v>https://api-enni.alpina.ru/FileCertificateProject/18</v>
      </c>
      <c r="Z1805" s="13"/>
      <c r="AT1805" s="1">
        <f t="shared" si="340"/>
        <v>0</v>
      </c>
      <c r="AU1805" s="1">
        <f t="shared" si="341"/>
        <v>0</v>
      </c>
      <c r="AV1805" s="1">
        <f t="shared" si="342"/>
        <v>0</v>
      </c>
      <c r="AW1805" s="1">
        <f t="shared" si="343"/>
        <v>0</v>
      </c>
      <c r="AX1805" s="1">
        <f t="shared" si="344"/>
        <v>0</v>
      </c>
    </row>
    <row r="1806" spans="1:50" s="1" customFormat="1" ht="24.95" customHeight="1" outlineLevel="3" x14ac:dyDescent="0.2">
      <c r="A1806" s="11"/>
      <c r="B1806" s="12">
        <v>640</v>
      </c>
      <c r="C1806" s="12">
        <v>940</v>
      </c>
      <c r="D1806" s="12">
        <v>28991</v>
      </c>
      <c r="E1806" s="13" t="s">
        <v>5560</v>
      </c>
      <c r="F1806" s="13" t="s">
        <v>5900</v>
      </c>
      <c r="G1806" s="13" t="s">
        <v>163</v>
      </c>
      <c r="H1806" s="13"/>
      <c r="I1806" s="12">
        <v>2024</v>
      </c>
      <c r="J1806" s="13" t="s">
        <v>5901</v>
      </c>
      <c r="K1806" s="12">
        <v>9785961490961</v>
      </c>
      <c r="L1806" s="13" t="s">
        <v>5902</v>
      </c>
      <c r="M1806" s="12">
        <v>64</v>
      </c>
      <c r="N1806" s="14">
        <v>0.42</v>
      </c>
      <c r="O1806" s="12">
        <v>200</v>
      </c>
      <c r="P1806" s="12">
        <v>260</v>
      </c>
      <c r="Q1806" s="12">
        <v>12</v>
      </c>
      <c r="R1806" s="13" t="s">
        <v>300</v>
      </c>
      <c r="S1806" s="13"/>
      <c r="T1806" s="15">
        <v>5000</v>
      </c>
      <c r="U1806" s="13" t="s">
        <v>52</v>
      </c>
      <c r="V1806" s="13" t="s">
        <v>269</v>
      </c>
      <c r="W1806" s="12">
        <v>10</v>
      </c>
      <c r="X1806" s="33" t="str">
        <f>HYPERLINK("https://www.alpinabook.ru/catalog/book-sekrety-sobak","ссылка на книгу")</f>
        <v>ссылка на книгу</v>
      </c>
      <c r="Y1806" s="34" t="str">
        <f>HYPERLINK("https://api-enni.alpina.ru/FileCertificateProject/614","https://api-enni.alpina.ru/FileCertificateProject/614")</f>
        <v>https://api-enni.alpina.ru/FileCertificateProject/614</v>
      </c>
      <c r="Z1806" s="13"/>
      <c r="AT1806" s="1">
        <f t="shared" ref="AT1806:AT1836" si="345">IF($A1806&lt;&gt;0,1,0)</f>
        <v>0</v>
      </c>
      <c r="AU1806" s="1">
        <f t="shared" ref="AU1806:AU1836" si="346">$A1806*$B1806</f>
        <v>0</v>
      </c>
      <c r="AV1806" s="1">
        <f t="shared" ref="AV1806:AV1836" si="347">$A1806*$N1806</f>
        <v>0</v>
      </c>
      <c r="AW1806" s="1">
        <f t="shared" ref="AW1806:AW1836" si="348">IF($Q1806=0,0,INT($A1806/$Q1806))</f>
        <v>0</v>
      </c>
      <c r="AX1806" s="1">
        <f t="shared" ref="AX1806:AX1836" si="349">$A1806-$AW1806*$Q1806</f>
        <v>0</v>
      </c>
    </row>
    <row r="1807" spans="1:50" s="1" customFormat="1" ht="24.95" customHeight="1" outlineLevel="3" x14ac:dyDescent="0.2">
      <c r="A1807" s="11"/>
      <c r="B1807" s="12">
        <v>590</v>
      </c>
      <c r="C1807" s="12">
        <v>840</v>
      </c>
      <c r="D1807" s="12">
        <v>31351</v>
      </c>
      <c r="E1807" s="13" t="s">
        <v>5903</v>
      </c>
      <c r="F1807" s="13" t="s">
        <v>5904</v>
      </c>
      <c r="G1807" s="13" t="s">
        <v>163</v>
      </c>
      <c r="H1807" s="13"/>
      <c r="I1807" s="12">
        <v>2024</v>
      </c>
      <c r="J1807" s="13" t="s">
        <v>5905</v>
      </c>
      <c r="K1807" s="12">
        <v>9785961498301</v>
      </c>
      <c r="L1807" s="13" t="s">
        <v>5906</v>
      </c>
      <c r="M1807" s="12">
        <v>56</v>
      </c>
      <c r="N1807" s="14">
        <v>0.25</v>
      </c>
      <c r="O1807" s="12">
        <v>170</v>
      </c>
      <c r="P1807" s="12">
        <v>220</v>
      </c>
      <c r="Q1807" s="12">
        <v>14</v>
      </c>
      <c r="R1807" s="13" t="s">
        <v>100</v>
      </c>
      <c r="S1807" s="13"/>
      <c r="T1807" s="15">
        <v>1200</v>
      </c>
      <c r="U1807" s="13" t="s">
        <v>52</v>
      </c>
      <c r="V1807" s="13" t="s">
        <v>269</v>
      </c>
      <c r="W1807" s="12">
        <v>10</v>
      </c>
      <c r="X1807" s="33" t="str">
        <f>HYPERLINK("https://www.alpinabook.ru/catalog/book-skazochnye-priklyucheniya-kota-alfreda","ссылка на книгу")</f>
        <v>ссылка на книгу</v>
      </c>
      <c r="Y1807" s="34" t="str">
        <f>HYPERLINK("https://api-enni.alpina.ru/FileCertificateProject/731","https://api-enni.alpina.ru/FileCertificateProject/731")</f>
        <v>https://api-enni.alpina.ru/FileCertificateProject/731</v>
      </c>
      <c r="Z1807" s="13"/>
      <c r="AT1807" s="1">
        <f t="shared" si="345"/>
        <v>0</v>
      </c>
      <c r="AU1807" s="1">
        <f t="shared" si="346"/>
        <v>0</v>
      </c>
      <c r="AV1807" s="1">
        <f t="shared" si="347"/>
        <v>0</v>
      </c>
      <c r="AW1807" s="1">
        <f t="shared" si="348"/>
        <v>0</v>
      </c>
      <c r="AX1807" s="1">
        <f t="shared" si="349"/>
        <v>0</v>
      </c>
    </row>
    <row r="1808" spans="1:50" s="1" customFormat="1" ht="24.95" customHeight="1" outlineLevel="3" x14ac:dyDescent="0.2">
      <c r="A1808" s="11"/>
      <c r="B1808" s="12">
        <v>490</v>
      </c>
      <c r="C1808" s="12">
        <v>740</v>
      </c>
      <c r="D1808" s="12">
        <v>22632</v>
      </c>
      <c r="E1808" s="13" t="s">
        <v>5733</v>
      </c>
      <c r="F1808" s="13" t="s">
        <v>5907</v>
      </c>
      <c r="G1808" s="13" t="s">
        <v>163</v>
      </c>
      <c r="H1808" s="13"/>
      <c r="I1808" s="12">
        <v>2021</v>
      </c>
      <c r="J1808" s="13" t="s">
        <v>5908</v>
      </c>
      <c r="K1808" s="12">
        <v>9785961461558</v>
      </c>
      <c r="L1808" s="13" t="s">
        <v>5909</v>
      </c>
      <c r="M1808" s="12">
        <v>48</v>
      </c>
      <c r="N1808" s="14">
        <v>0.32</v>
      </c>
      <c r="O1808" s="12">
        <v>202</v>
      </c>
      <c r="P1808" s="12">
        <v>269</v>
      </c>
      <c r="Q1808" s="12">
        <v>15</v>
      </c>
      <c r="R1808" s="13" t="s">
        <v>300</v>
      </c>
      <c r="S1808" s="13"/>
      <c r="T1808" s="15">
        <v>3000</v>
      </c>
      <c r="U1808" s="13" t="s">
        <v>52</v>
      </c>
      <c r="V1808" s="13" t="s">
        <v>269</v>
      </c>
      <c r="W1808" s="12">
        <v>10</v>
      </c>
      <c r="X1808" s="33" t="str">
        <f>HYPERLINK("https://www.alpinabook.ru/catalog/book-713290","ссылка на книгу")</f>
        <v>ссылка на книгу</v>
      </c>
      <c r="Y1808" s="34" t="str">
        <f>HYPERLINK("https://api-enni.alpina.ru/FileCertificateProject/436","https://api-enni.alpina.ru/FileCertificateProject/436")</f>
        <v>https://api-enni.alpina.ru/FileCertificateProject/436</v>
      </c>
      <c r="Z1808" s="13"/>
      <c r="AT1808" s="1">
        <f t="shared" si="345"/>
        <v>0</v>
      </c>
      <c r="AU1808" s="1">
        <f t="shared" si="346"/>
        <v>0</v>
      </c>
      <c r="AV1808" s="1">
        <f t="shared" si="347"/>
        <v>0</v>
      </c>
      <c r="AW1808" s="1">
        <f t="shared" si="348"/>
        <v>0</v>
      </c>
      <c r="AX1808" s="1">
        <f t="shared" si="349"/>
        <v>0</v>
      </c>
    </row>
    <row r="1809" spans="1:50" s="1" customFormat="1" ht="21.95" customHeight="1" outlineLevel="3" x14ac:dyDescent="0.2">
      <c r="A1809" s="11"/>
      <c r="B1809" s="12">
        <v>640</v>
      </c>
      <c r="C1809" s="12">
        <v>940</v>
      </c>
      <c r="D1809" s="12">
        <v>29893</v>
      </c>
      <c r="E1809" s="13" t="s">
        <v>5910</v>
      </c>
      <c r="F1809" s="13" t="s">
        <v>5911</v>
      </c>
      <c r="G1809" s="13" t="s">
        <v>163</v>
      </c>
      <c r="H1809" s="13"/>
      <c r="I1809" s="12">
        <v>2024</v>
      </c>
      <c r="J1809" s="13" t="s">
        <v>5912</v>
      </c>
      <c r="K1809" s="12">
        <v>9785961494327</v>
      </c>
      <c r="L1809" s="13" t="s">
        <v>5913</v>
      </c>
      <c r="M1809" s="12">
        <v>128</v>
      </c>
      <c r="N1809" s="14">
        <v>0.3</v>
      </c>
      <c r="O1809" s="12">
        <v>170</v>
      </c>
      <c r="P1809" s="12">
        <v>220</v>
      </c>
      <c r="Q1809" s="12">
        <v>12</v>
      </c>
      <c r="R1809" s="13" t="s">
        <v>100</v>
      </c>
      <c r="S1809" s="13"/>
      <c r="T1809" s="15">
        <v>3000</v>
      </c>
      <c r="U1809" s="13" t="s">
        <v>44</v>
      </c>
      <c r="V1809" s="13" t="s">
        <v>269</v>
      </c>
      <c r="W1809" s="12">
        <v>10</v>
      </c>
      <c r="X1809" s="33" t="str">
        <f>HYPERLINK("https://www.alpinabook.ru/catalog/book-sochinenie-na-5-po-literature","ссылка на книгу")</f>
        <v>ссылка на книгу</v>
      </c>
      <c r="Y1809" s="34" t="str">
        <f>HYPERLINK("","")</f>
        <v/>
      </c>
      <c r="Z1809" s="13"/>
      <c r="AT1809" s="1">
        <f t="shared" si="345"/>
        <v>0</v>
      </c>
      <c r="AU1809" s="1">
        <f t="shared" si="346"/>
        <v>0</v>
      </c>
      <c r="AV1809" s="1">
        <f t="shared" si="347"/>
        <v>0</v>
      </c>
      <c r="AW1809" s="1">
        <f t="shared" si="348"/>
        <v>0</v>
      </c>
      <c r="AX1809" s="1">
        <f t="shared" si="349"/>
        <v>0</v>
      </c>
    </row>
    <row r="1810" spans="1:50" s="1" customFormat="1" ht="24.95" customHeight="1" outlineLevel="3" x14ac:dyDescent="0.2">
      <c r="A1810" s="11"/>
      <c r="B1810" s="12">
        <v>640</v>
      </c>
      <c r="C1810" s="12">
        <v>940</v>
      </c>
      <c r="D1810" s="12">
        <v>27381</v>
      </c>
      <c r="E1810" s="13" t="s">
        <v>5910</v>
      </c>
      <c r="F1810" s="13" t="s">
        <v>5914</v>
      </c>
      <c r="G1810" s="13" t="s">
        <v>163</v>
      </c>
      <c r="H1810" s="13"/>
      <c r="I1810" s="12">
        <v>2025</v>
      </c>
      <c r="J1810" s="13" t="s">
        <v>5915</v>
      </c>
      <c r="K1810" s="12">
        <v>9785961484755</v>
      </c>
      <c r="L1810" s="13" t="s">
        <v>5916</v>
      </c>
      <c r="M1810" s="12">
        <v>128</v>
      </c>
      <c r="N1810" s="14">
        <v>0.28999999999999998</v>
      </c>
      <c r="O1810" s="12">
        <v>170</v>
      </c>
      <c r="P1810" s="12">
        <v>220</v>
      </c>
      <c r="Q1810" s="12">
        <v>13</v>
      </c>
      <c r="R1810" s="13" t="s">
        <v>100</v>
      </c>
      <c r="S1810" s="13"/>
      <c r="T1810" s="15">
        <v>1500</v>
      </c>
      <c r="U1810" s="13" t="s">
        <v>44</v>
      </c>
      <c r="V1810" s="13" t="s">
        <v>59</v>
      </c>
      <c r="W1810" s="12">
        <v>10</v>
      </c>
      <c r="X1810" s="33" t="str">
        <f>HYPERLINK("https://www.alpinabook.ru/catalog/book-sochinenie-na-5","ссылка на книгу")</f>
        <v>ссылка на книгу</v>
      </c>
      <c r="Y1810" s="34" t="str">
        <f>HYPERLINK("https://api-enni.alpina.ru/FileCertificateProject/440","https://api-enni.alpina.ru/FileCertificateProject/440")</f>
        <v>https://api-enni.alpina.ru/FileCertificateProject/440</v>
      </c>
      <c r="Z1810" s="13" t="s">
        <v>865</v>
      </c>
      <c r="AT1810" s="1">
        <f t="shared" si="345"/>
        <v>0</v>
      </c>
      <c r="AU1810" s="1">
        <f t="shared" si="346"/>
        <v>0</v>
      </c>
      <c r="AV1810" s="1">
        <f t="shared" si="347"/>
        <v>0</v>
      </c>
      <c r="AW1810" s="1">
        <f t="shared" si="348"/>
        <v>0</v>
      </c>
      <c r="AX1810" s="1">
        <f t="shared" si="349"/>
        <v>0</v>
      </c>
    </row>
    <row r="1811" spans="1:50" s="1" customFormat="1" ht="24.95" customHeight="1" outlineLevel="3" x14ac:dyDescent="0.2">
      <c r="A1811" s="11"/>
      <c r="B1811" s="12">
        <v>590</v>
      </c>
      <c r="C1811" s="12">
        <v>840</v>
      </c>
      <c r="D1811" s="12">
        <v>32354</v>
      </c>
      <c r="E1811" s="13" t="s">
        <v>5917</v>
      </c>
      <c r="F1811" s="13" t="s">
        <v>5918</v>
      </c>
      <c r="G1811" s="13" t="s">
        <v>163</v>
      </c>
      <c r="H1811" s="13"/>
      <c r="I1811" s="12">
        <v>2025</v>
      </c>
      <c r="J1811" s="13" t="s">
        <v>5919</v>
      </c>
      <c r="K1811" s="12">
        <v>9785006302457</v>
      </c>
      <c r="L1811" s="13" t="s">
        <v>5920</v>
      </c>
      <c r="M1811" s="12">
        <v>184</v>
      </c>
      <c r="N1811" s="14">
        <v>0.35</v>
      </c>
      <c r="O1811" s="12">
        <v>160</v>
      </c>
      <c r="P1811" s="12">
        <v>220</v>
      </c>
      <c r="Q1811" s="12">
        <v>10</v>
      </c>
      <c r="R1811" s="13" t="s">
        <v>100</v>
      </c>
      <c r="S1811" s="13"/>
      <c r="T1811" s="15">
        <v>3000</v>
      </c>
      <c r="U1811" s="13" t="s">
        <v>44</v>
      </c>
      <c r="V1811" s="13" t="s">
        <v>59</v>
      </c>
      <c r="W1811" s="12">
        <v>10</v>
      </c>
      <c r="X1811" s="33" t="str">
        <f>HYPERLINK("https://www.alpinabook.ru/catalog/book-tvoy-pervyy-biznes","ссылка на книгу")</f>
        <v>ссылка на книгу</v>
      </c>
      <c r="Y1811" s="34" t="str">
        <f>HYPERLINK("https://api-enni.alpina.ru/FileCertificateProject/439","https://api-enni.alpina.ru/FileCertificateProject/439")</f>
        <v>https://api-enni.alpina.ru/FileCertificateProject/439</v>
      </c>
      <c r="Z1811" s="13"/>
      <c r="AT1811" s="1">
        <f t="shared" si="345"/>
        <v>0</v>
      </c>
      <c r="AU1811" s="1">
        <f t="shared" si="346"/>
        <v>0</v>
      </c>
      <c r="AV1811" s="1">
        <f t="shared" si="347"/>
        <v>0</v>
      </c>
      <c r="AW1811" s="1">
        <f t="shared" si="348"/>
        <v>0</v>
      </c>
      <c r="AX1811" s="1">
        <f t="shared" si="349"/>
        <v>0</v>
      </c>
    </row>
    <row r="1812" spans="1:50" s="1" customFormat="1" ht="24.95" customHeight="1" outlineLevel="3" x14ac:dyDescent="0.2">
      <c r="A1812" s="11"/>
      <c r="B1812" s="12">
        <v>690</v>
      </c>
      <c r="C1812" s="12">
        <v>990</v>
      </c>
      <c r="D1812" s="12">
        <v>28919</v>
      </c>
      <c r="E1812" s="13" t="s">
        <v>5921</v>
      </c>
      <c r="F1812" s="13" t="s">
        <v>5922</v>
      </c>
      <c r="G1812" s="13" t="s">
        <v>163</v>
      </c>
      <c r="H1812" s="13"/>
      <c r="I1812" s="12">
        <v>2025</v>
      </c>
      <c r="J1812" s="13" t="s">
        <v>5923</v>
      </c>
      <c r="K1812" s="12">
        <v>9785961490718</v>
      </c>
      <c r="L1812" s="13" t="s">
        <v>5924</v>
      </c>
      <c r="M1812" s="12">
        <v>464</v>
      </c>
      <c r="N1812" s="14">
        <v>0.56999999999999995</v>
      </c>
      <c r="O1812" s="12">
        <v>140</v>
      </c>
      <c r="P1812" s="12">
        <v>210</v>
      </c>
      <c r="Q1812" s="12">
        <v>10</v>
      </c>
      <c r="R1812" s="13" t="s">
        <v>82</v>
      </c>
      <c r="S1812" s="13" t="s">
        <v>5925</v>
      </c>
      <c r="T1812" s="15">
        <v>4000</v>
      </c>
      <c r="U1812" s="13" t="s">
        <v>52</v>
      </c>
      <c r="V1812" s="13" t="s">
        <v>59</v>
      </c>
      <c r="W1812" s="12">
        <v>10</v>
      </c>
      <c r="X1812" s="33" t="str">
        <f>HYPERLINK("https://www.alpinabook.ru/catalog/book-terra-i-tayna-sozvezdiy-kniga-1","ссылка на книгу")</f>
        <v>ссылка на книгу</v>
      </c>
      <c r="Y1812" s="34" t="str">
        <f>HYPERLINK("https://api-enni.alpina.ru/FileCertificateProject/662","https://api-enni.alpina.ru/FileCertificateProject/662")</f>
        <v>https://api-enni.alpina.ru/FileCertificateProject/662</v>
      </c>
      <c r="Z1812" s="13" t="s">
        <v>1406</v>
      </c>
      <c r="AT1812" s="1">
        <f t="shared" si="345"/>
        <v>0</v>
      </c>
      <c r="AU1812" s="1">
        <f t="shared" si="346"/>
        <v>0</v>
      </c>
      <c r="AV1812" s="1">
        <f t="shared" si="347"/>
        <v>0</v>
      </c>
      <c r="AW1812" s="1">
        <f t="shared" si="348"/>
        <v>0</v>
      </c>
      <c r="AX1812" s="1">
        <f t="shared" si="349"/>
        <v>0</v>
      </c>
    </row>
    <row r="1813" spans="1:50" s="1" customFormat="1" ht="24.95" customHeight="1" outlineLevel="3" x14ac:dyDescent="0.2">
      <c r="A1813" s="11"/>
      <c r="B1813" s="12">
        <v>340</v>
      </c>
      <c r="C1813" s="12">
        <v>540</v>
      </c>
      <c r="D1813" s="12">
        <v>27740</v>
      </c>
      <c r="E1813" s="13" t="s">
        <v>5926</v>
      </c>
      <c r="F1813" s="13" t="s">
        <v>5927</v>
      </c>
      <c r="G1813" s="13" t="s">
        <v>163</v>
      </c>
      <c r="H1813" s="13" t="s">
        <v>434</v>
      </c>
      <c r="I1813" s="12">
        <v>2024</v>
      </c>
      <c r="J1813" s="13" t="s">
        <v>5928</v>
      </c>
      <c r="K1813" s="12">
        <v>9785961486193</v>
      </c>
      <c r="L1813" s="13" t="s">
        <v>5929</v>
      </c>
      <c r="M1813" s="12">
        <v>40</v>
      </c>
      <c r="N1813" s="14">
        <v>0.15</v>
      </c>
      <c r="O1813" s="12">
        <v>210</v>
      </c>
      <c r="P1813" s="12">
        <v>280</v>
      </c>
      <c r="Q1813" s="12">
        <v>25</v>
      </c>
      <c r="R1813" s="13" t="s">
        <v>167</v>
      </c>
      <c r="S1813" s="13" t="s">
        <v>5930</v>
      </c>
      <c r="T1813" s="15">
        <v>3000</v>
      </c>
      <c r="U1813" s="13" t="s">
        <v>44</v>
      </c>
      <c r="V1813" s="13" t="s">
        <v>64</v>
      </c>
      <c r="W1813" s="12">
        <v>10</v>
      </c>
      <c r="X1813" s="33" t="str">
        <f>HYPERLINK("https://www.alpinabook.ru/catalog/book-tibo-zhurnal-s-kotorym-mozhno-igrat-druzya","ссылка на книгу")</f>
        <v>ссылка на книгу</v>
      </c>
      <c r="Y1813" s="34" t="str">
        <f>HYPERLINK("","")</f>
        <v/>
      </c>
      <c r="Z1813" s="13"/>
      <c r="AT1813" s="1">
        <f t="shared" si="345"/>
        <v>0</v>
      </c>
      <c r="AU1813" s="1">
        <f t="shared" si="346"/>
        <v>0</v>
      </c>
      <c r="AV1813" s="1">
        <f t="shared" si="347"/>
        <v>0</v>
      </c>
      <c r="AW1813" s="1">
        <f t="shared" si="348"/>
        <v>0</v>
      </c>
      <c r="AX1813" s="1">
        <f t="shared" si="349"/>
        <v>0</v>
      </c>
    </row>
    <row r="1814" spans="1:50" s="1" customFormat="1" ht="24.95" customHeight="1" outlineLevel="3" x14ac:dyDescent="0.2">
      <c r="A1814" s="11"/>
      <c r="B1814" s="12">
        <v>340</v>
      </c>
      <c r="C1814" s="12">
        <v>540</v>
      </c>
      <c r="D1814" s="12">
        <v>27739</v>
      </c>
      <c r="E1814" s="13" t="s">
        <v>5926</v>
      </c>
      <c r="F1814" s="13" t="s">
        <v>5931</v>
      </c>
      <c r="G1814" s="13" t="s">
        <v>163</v>
      </c>
      <c r="H1814" s="13" t="s">
        <v>434</v>
      </c>
      <c r="I1814" s="12">
        <v>2024</v>
      </c>
      <c r="J1814" s="13" t="s">
        <v>5932</v>
      </c>
      <c r="K1814" s="12">
        <v>9785961486186</v>
      </c>
      <c r="L1814" s="13" t="s">
        <v>5933</v>
      </c>
      <c r="M1814" s="12">
        <v>40</v>
      </c>
      <c r="N1814" s="14">
        <v>0.15</v>
      </c>
      <c r="O1814" s="12">
        <v>210</v>
      </c>
      <c r="P1814" s="12">
        <v>280</v>
      </c>
      <c r="Q1814" s="12">
        <v>25</v>
      </c>
      <c r="R1814" s="13" t="s">
        <v>167</v>
      </c>
      <c r="S1814" s="13" t="s">
        <v>5930</v>
      </c>
      <c r="T1814" s="15">
        <v>3000</v>
      </c>
      <c r="U1814" s="13" t="s">
        <v>44</v>
      </c>
      <c r="V1814" s="13" t="s">
        <v>64</v>
      </c>
      <c r="W1814" s="12">
        <v>10</v>
      </c>
      <c r="X1814" s="33" t="str">
        <f>HYPERLINK("https://www.alpinabook.ru/catalog/book-tibo-zhurnal-s-kotorym-mozhno-igrat-na-ferme","ссылка на книгу")</f>
        <v>ссылка на книгу</v>
      </c>
      <c r="Y1814" s="34" t="str">
        <f>HYPERLINK("","")</f>
        <v/>
      </c>
      <c r="Z1814" s="13"/>
      <c r="AT1814" s="1">
        <f t="shared" si="345"/>
        <v>0</v>
      </c>
      <c r="AU1814" s="1">
        <f t="shared" si="346"/>
        <v>0</v>
      </c>
      <c r="AV1814" s="1">
        <f t="shared" si="347"/>
        <v>0</v>
      </c>
      <c r="AW1814" s="1">
        <f t="shared" si="348"/>
        <v>0</v>
      </c>
      <c r="AX1814" s="1">
        <f t="shared" si="349"/>
        <v>0</v>
      </c>
    </row>
    <row r="1815" spans="1:50" s="1" customFormat="1" ht="24.95" customHeight="1" outlineLevel="3" x14ac:dyDescent="0.2">
      <c r="A1815" s="11"/>
      <c r="B1815" s="12">
        <v>340</v>
      </c>
      <c r="C1815" s="12">
        <v>540</v>
      </c>
      <c r="D1815" s="12">
        <v>27737</v>
      </c>
      <c r="E1815" s="13" t="s">
        <v>5926</v>
      </c>
      <c r="F1815" s="13" t="s">
        <v>5934</v>
      </c>
      <c r="G1815" s="13" t="s">
        <v>163</v>
      </c>
      <c r="H1815" s="13" t="s">
        <v>434</v>
      </c>
      <c r="I1815" s="12">
        <v>2024</v>
      </c>
      <c r="J1815" s="13" t="s">
        <v>5935</v>
      </c>
      <c r="K1815" s="12">
        <v>9785961486162</v>
      </c>
      <c r="L1815" s="13" t="s">
        <v>5936</v>
      </c>
      <c r="M1815" s="12">
        <v>40</v>
      </c>
      <c r="N1815" s="14">
        <v>0.16</v>
      </c>
      <c r="O1815" s="12">
        <v>210</v>
      </c>
      <c r="P1815" s="12">
        <v>280</v>
      </c>
      <c r="Q1815" s="12">
        <v>20</v>
      </c>
      <c r="R1815" s="13" t="s">
        <v>167</v>
      </c>
      <c r="S1815" s="13" t="s">
        <v>5930</v>
      </c>
      <c r="T1815" s="15">
        <v>3000</v>
      </c>
      <c r="U1815" s="13" t="s">
        <v>44</v>
      </c>
      <c r="V1815" s="13" t="s">
        <v>64</v>
      </c>
      <c r="W1815" s="12">
        <v>10</v>
      </c>
      <c r="X1815" s="33" t="str">
        <f>HYPERLINK("https://www.alpinabook.ru/catalog/book-tibo-protivopolozhnosti","ссылка на книгу")</f>
        <v>ссылка на книгу</v>
      </c>
      <c r="Y1815" s="34" t="str">
        <f>HYPERLINK("https://api-enni.alpina.ru/FileCertificateProject/689","https://api-enni.alpina.ru/FileCertificateProject/689")</f>
        <v>https://api-enni.alpina.ru/FileCertificateProject/689</v>
      </c>
      <c r="Z1815" s="13"/>
      <c r="AT1815" s="1">
        <f t="shared" si="345"/>
        <v>0</v>
      </c>
      <c r="AU1815" s="1">
        <f t="shared" si="346"/>
        <v>0</v>
      </c>
      <c r="AV1815" s="1">
        <f t="shared" si="347"/>
        <v>0</v>
      </c>
      <c r="AW1815" s="1">
        <f t="shared" si="348"/>
        <v>0</v>
      </c>
      <c r="AX1815" s="1">
        <f t="shared" si="349"/>
        <v>0</v>
      </c>
    </row>
    <row r="1816" spans="1:50" s="1" customFormat="1" ht="24.95" customHeight="1" outlineLevel="3" x14ac:dyDescent="0.2">
      <c r="A1816" s="11"/>
      <c r="B1816" s="12">
        <v>340</v>
      </c>
      <c r="C1816" s="12">
        <v>540</v>
      </c>
      <c r="D1816" s="12">
        <v>27736</v>
      </c>
      <c r="E1816" s="13" t="s">
        <v>5926</v>
      </c>
      <c r="F1816" s="13" t="s">
        <v>5937</v>
      </c>
      <c r="G1816" s="13" t="s">
        <v>163</v>
      </c>
      <c r="H1816" s="13" t="s">
        <v>434</v>
      </c>
      <c r="I1816" s="12">
        <v>2024</v>
      </c>
      <c r="J1816" s="13" t="s">
        <v>5938</v>
      </c>
      <c r="K1816" s="12">
        <v>9785961486148</v>
      </c>
      <c r="L1816" s="13" t="s">
        <v>5939</v>
      </c>
      <c r="M1816" s="12">
        <v>40</v>
      </c>
      <c r="N1816" s="14">
        <v>0.15</v>
      </c>
      <c r="O1816" s="12">
        <v>210</v>
      </c>
      <c r="P1816" s="12">
        <v>280</v>
      </c>
      <c r="Q1816" s="12">
        <v>20</v>
      </c>
      <c r="R1816" s="13" t="s">
        <v>167</v>
      </c>
      <c r="S1816" s="13" t="s">
        <v>5930</v>
      </c>
      <c r="T1816" s="15">
        <v>3000</v>
      </c>
      <c r="U1816" s="13" t="s">
        <v>44</v>
      </c>
      <c r="V1816" s="13" t="s">
        <v>64</v>
      </c>
      <c r="W1816" s="12">
        <v>10</v>
      </c>
      <c r="X1816" s="33" t="str">
        <f>HYPERLINK("https://www.alpinabook.ru/catalog/book-tibo-pyat-chuvstv","ссылка на книгу")</f>
        <v>ссылка на книгу</v>
      </c>
      <c r="Y1816" s="34" t="str">
        <f>HYPERLINK("","")</f>
        <v/>
      </c>
      <c r="Z1816" s="13"/>
      <c r="AT1816" s="1">
        <f t="shared" si="345"/>
        <v>0</v>
      </c>
      <c r="AU1816" s="1">
        <f t="shared" si="346"/>
        <v>0</v>
      </c>
      <c r="AV1816" s="1">
        <f t="shared" si="347"/>
        <v>0</v>
      </c>
      <c r="AW1816" s="1">
        <f t="shared" si="348"/>
        <v>0</v>
      </c>
      <c r="AX1816" s="1">
        <f t="shared" si="349"/>
        <v>0</v>
      </c>
    </row>
    <row r="1817" spans="1:50" s="1" customFormat="1" ht="24.95" customHeight="1" outlineLevel="3" x14ac:dyDescent="0.2">
      <c r="A1817" s="11"/>
      <c r="B1817" s="12">
        <v>340</v>
      </c>
      <c r="C1817" s="12">
        <v>540</v>
      </c>
      <c r="D1817" s="12">
        <v>27738</v>
      </c>
      <c r="E1817" s="13" t="s">
        <v>5926</v>
      </c>
      <c r="F1817" s="13" t="s">
        <v>5940</v>
      </c>
      <c r="G1817" s="13" t="s">
        <v>163</v>
      </c>
      <c r="H1817" s="13" t="s">
        <v>434</v>
      </c>
      <c r="I1817" s="12">
        <v>2024</v>
      </c>
      <c r="J1817" s="13" t="s">
        <v>5941</v>
      </c>
      <c r="K1817" s="12">
        <v>9785961486179</v>
      </c>
      <c r="L1817" s="13" t="s">
        <v>5942</v>
      </c>
      <c r="M1817" s="12">
        <v>40</v>
      </c>
      <c r="N1817" s="14">
        <v>0.15</v>
      </c>
      <c r="O1817" s="12">
        <v>210</v>
      </c>
      <c r="P1817" s="12">
        <v>280</v>
      </c>
      <c r="Q1817" s="12">
        <v>20</v>
      </c>
      <c r="R1817" s="13" t="s">
        <v>167</v>
      </c>
      <c r="S1817" s="13" t="s">
        <v>5930</v>
      </c>
      <c r="T1817" s="15">
        <v>3000</v>
      </c>
      <c r="U1817" s="13" t="s">
        <v>44</v>
      </c>
      <c r="V1817" s="13" t="s">
        <v>64</v>
      </c>
      <c r="W1817" s="12">
        <v>10</v>
      </c>
      <c r="X1817" s="33" t="str">
        <f>HYPERLINK("https://www.alpinabook.ru/catalog/book-tibo-tsifry","ссылка на книгу")</f>
        <v>ссылка на книгу</v>
      </c>
      <c r="Y1817" s="34" t="str">
        <f>HYPERLINK("","")</f>
        <v/>
      </c>
      <c r="Z1817" s="13"/>
      <c r="AT1817" s="1">
        <f t="shared" si="345"/>
        <v>0</v>
      </c>
      <c r="AU1817" s="1">
        <f t="shared" si="346"/>
        <v>0</v>
      </c>
      <c r="AV1817" s="1">
        <f t="shared" si="347"/>
        <v>0</v>
      </c>
      <c r="AW1817" s="1">
        <f t="shared" si="348"/>
        <v>0</v>
      </c>
      <c r="AX1817" s="1">
        <f t="shared" si="349"/>
        <v>0</v>
      </c>
    </row>
    <row r="1818" spans="1:50" s="1" customFormat="1" ht="24.95" customHeight="1" outlineLevel="3" x14ac:dyDescent="0.2">
      <c r="A1818" s="11"/>
      <c r="B1818" s="12">
        <v>490</v>
      </c>
      <c r="C1818" s="12">
        <v>740</v>
      </c>
      <c r="D1818" s="12">
        <v>25357</v>
      </c>
      <c r="E1818" s="13" t="s">
        <v>5858</v>
      </c>
      <c r="F1818" s="13" t="s">
        <v>5943</v>
      </c>
      <c r="G1818" s="13" t="s">
        <v>163</v>
      </c>
      <c r="H1818" s="13" t="s">
        <v>40</v>
      </c>
      <c r="I1818" s="12">
        <v>2023</v>
      </c>
      <c r="J1818" s="13" t="s">
        <v>5944</v>
      </c>
      <c r="K1818" s="12">
        <v>9785961480405</v>
      </c>
      <c r="L1818" s="13" t="s">
        <v>5945</v>
      </c>
      <c r="M1818" s="12">
        <v>40</v>
      </c>
      <c r="N1818" s="14">
        <v>0.34</v>
      </c>
      <c r="O1818" s="12">
        <v>210</v>
      </c>
      <c r="P1818" s="12">
        <v>260</v>
      </c>
      <c r="Q1818" s="12">
        <v>15</v>
      </c>
      <c r="R1818" s="13" t="s">
        <v>300</v>
      </c>
      <c r="S1818" s="13" t="s">
        <v>5862</v>
      </c>
      <c r="T1818" s="15">
        <v>2000</v>
      </c>
      <c r="U1818" s="13" t="s">
        <v>52</v>
      </c>
      <c r="V1818" s="13" t="s">
        <v>5626</v>
      </c>
      <c r="W1818" s="12">
        <v>10</v>
      </c>
      <c r="X1818" s="33" t="str">
        <f>HYPERLINK("https://www.alpinabook.ru/catalog/book-trat-s-umom-kak-zaychik-fundi","ссылка на книгу")</f>
        <v>ссылка на книгу</v>
      </c>
      <c r="Y1818" s="34" t="str">
        <f>HYPERLINK("https://api-enni.alpina.ru/FileCertificateProject/520","https://api-enni.alpina.ru/FileCertificateProject/520")</f>
        <v>https://api-enni.alpina.ru/FileCertificateProject/520</v>
      </c>
      <c r="Z1818" s="13"/>
      <c r="AT1818" s="1">
        <f t="shared" si="345"/>
        <v>0</v>
      </c>
      <c r="AU1818" s="1">
        <f t="shared" si="346"/>
        <v>0</v>
      </c>
      <c r="AV1818" s="1">
        <f t="shared" si="347"/>
        <v>0</v>
      </c>
      <c r="AW1818" s="1">
        <f t="shared" si="348"/>
        <v>0</v>
      </c>
      <c r="AX1818" s="1">
        <f t="shared" si="349"/>
        <v>0</v>
      </c>
    </row>
    <row r="1819" spans="1:50" s="1" customFormat="1" ht="24.95" customHeight="1" outlineLevel="3" x14ac:dyDescent="0.2">
      <c r="A1819" s="11"/>
      <c r="B1819" s="12">
        <v>590</v>
      </c>
      <c r="C1819" s="12">
        <v>840</v>
      </c>
      <c r="D1819" s="12">
        <v>31032</v>
      </c>
      <c r="E1819" s="13" t="s">
        <v>5946</v>
      </c>
      <c r="F1819" s="13" t="s">
        <v>5947</v>
      </c>
      <c r="G1819" s="13" t="s">
        <v>163</v>
      </c>
      <c r="H1819" s="13"/>
      <c r="I1819" s="12">
        <v>2024</v>
      </c>
      <c r="J1819" s="13" t="s">
        <v>5948</v>
      </c>
      <c r="K1819" s="12">
        <v>9785961497250</v>
      </c>
      <c r="L1819" s="13" t="s">
        <v>5949</v>
      </c>
      <c r="M1819" s="12">
        <v>80</v>
      </c>
      <c r="N1819" s="14">
        <v>0.33</v>
      </c>
      <c r="O1819" s="12">
        <v>170</v>
      </c>
      <c r="P1819" s="12">
        <v>250</v>
      </c>
      <c r="Q1819" s="12">
        <v>14</v>
      </c>
      <c r="R1819" s="13" t="s">
        <v>94</v>
      </c>
      <c r="S1819" s="13"/>
      <c r="T1819" s="15">
        <v>5000</v>
      </c>
      <c r="U1819" s="13" t="s">
        <v>52</v>
      </c>
      <c r="V1819" s="13" t="s">
        <v>269</v>
      </c>
      <c r="W1819" s="12">
        <v>10</v>
      </c>
      <c r="X1819" s="33" t="str">
        <f>HYPERLINK("https://www.alpinabook.ru/catalog/book-ty-moy-talisman","ссылка на книгу")</f>
        <v>ссылка на книгу</v>
      </c>
      <c r="Y1819" s="34" t="str">
        <f>HYPERLINK("https://api-enni.alpina.ru/FileCertificateProject/739","https://api-enni.alpina.ru/FileCertificateProject/739")</f>
        <v>https://api-enni.alpina.ru/FileCertificateProject/739</v>
      </c>
      <c r="Z1819" s="13"/>
      <c r="AT1819" s="1">
        <f t="shared" si="345"/>
        <v>0</v>
      </c>
      <c r="AU1819" s="1">
        <f t="shared" si="346"/>
        <v>0</v>
      </c>
      <c r="AV1819" s="1">
        <f t="shared" si="347"/>
        <v>0</v>
      </c>
      <c r="AW1819" s="1">
        <f t="shared" si="348"/>
        <v>0</v>
      </c>
      <c r="AX1819" s="1">
        <f t="shared" si="349"/>
        <v>0</v>
      </c>
    </row>
    <row r="1820" spans="1:50" s="1" customFormat="1" ht="21.95" customHeight="1" outlineLevel="3" x14ac:dyDescent="0.2">
      <c r="A1820" s="11"/>
      <c r="B1820" s="12">
        <v>640</v>
      </c>
      <c r="C1820" s="12">
        <v>940</v>
      </c>
      <c r="D1820" s="12">
        <v>29768</v>
      </c>
      <c r="E1820" s="13" t="s">
        <v>2899</v>
      </c>
      <c r="F1820" s="13" t="s">
        <v>5950</v>
      </c>
      <c r="G1820" s="13" t="s">
        <v>163</v>
      </c>
      <c r="H1820" s="13" t="s">
        <v>40</v>
      </c>
      <c r="I1820" s="12">
        <v>2024</v>
      </c>
      <c r="J1820" s="13" t="s">
        <v>5951</v>
      </c>
      <c r="K1820" s="12">
        <v>9785961493818</v>
      </c>
      <c r="L1820" s="13" t="s">
        <v>5952</v>
      </c>
      <c r="M1820" s="12">
        <v>56</v>
      </c>
      <c r="N1820" s="14">
        <v>0.33</v>
      </c>
      <c r="O1820" s="12">
        <v>210</v>
      </c>
      <c r="P1820" s="12">
        <v>300</v>
      </c>
      <c r="Q1820" s="12">
        <v>25</v>
      </c>
      <c r="R1820" s="13" t="s">
        <v>167</v>
      </c>
      <c r="S1820" s="13"/>
      <c r="T1820" s="15">
        <v>2000</v>
      </c>
      <c r="U1820" s="13" t="s">
        <v>44</v>
      </c>
      <c r="V1820" s="13" t="s">
        <v>269</v>
      </c>
      <c r="W1820" s="12">
        <v>10</v>
      </c>
      <c r="X1820" s="33" t="str">
        <f>HYPERLINK("https://www.alpinabook.ru/catalog/book-umnye-otkrytiya-voda","ссылка на книгу")</f>
        <v>ссылка на книгу</v>
      </c>
      <c r="Y1820" s="34" t="str">
        <f>HYPERLINK("","")</f>
        <v/>
      </c>
      <c r="Z1820" s="13"/>
      <c r="AT1820" s="1">
        <f t="shared" si="345"/>
        <v>0</v>
      </c>
      <c r="AU1820" s="1">
        <f t="shared" si="346"/>
        <v>0</v>
      </c>
      <c r="AV1820" s="1">
        <f t="shared" si="347"/>
        <v>0</v>
      </c>
      <c r="AW1820" s="1">
        <f t="shared" si="348"/>
        <v>0</v>
      </c>
      <c r="AX1820" s="1">
        <f t="shared" si="349"/>
        <v>0</v>
      </c>
    </row>
    <row r="1821" spans="1:50" s="1" customFormat="1" ht="24.95" customHeight="1" outlineLevel="3" x14ac:dyDescent="0.2">
      <c r="A1821" s="11"/>
      <c r="B1821" s="12">
        <v>640</v>
      </c>
      <c r="C1821" s="12">
        <v>940</v>
      </c>
      <c r="D1821" s="12">
        <v>29767</v>
      </c>
      <c r="E1821" s="13" t="s">
        <v>5953</v>
      </c>
      <c r="F1821" s="13" t="s">
        <v>5954</v>
      </c>
      <c r="G1821" s="13" t="s">
        <v>163</v>
      </c>
      <c r="H1821" s="13" t="s">
        <v>40</v>
      </c>
      <c r="I1821" s="12">
        <v>2024</v>
      </c>
      <c r="J1821" s="13" t="s">
        <v>5955</v>
      </c>
      <c r="K1821" s="12">
        <v>9785961493801</v>
      </c>
      <c r="L1821" s="13" t="s">
        <v>5956</v>
      </c>
      <c r="M1821" s="12">
        <v>56</v>
      </c>
      <c r="N1821" s="14">
        <v>0.32</v>
      </c>
      <c r="O1821" s="12">
        <v>210</v>
      </c>
      <c r="P1821" s="12">
        <v>300</v>
      </c>
      <c r="Q1821" s="12">
        <v>25</v>
      </c>
      <c r="R1821" s="13" t="s">
        <v>300</v>
      </c>
      <c r="S1821" s="13" t="s">
        <v>5957</v>
      </c>
      <c r="T1821" s="15">
        <v>2000</v>
      </c>
      <c r="U1821" s="13" t="s">
        <v>44</v>
      </c>
      <c r="V1821" s="13" t="s">
        <v>269</v>
      </c>
      <c r="W1821" s="12">
        <v>10</v>
      </c>
      <c r="X1821" s="33" t="str">
        <f>HYPERLINK("https://www.alpinabook.ru/catalog/book-umnye-otkrytiya-geologiya","ссылка на книгу")</f>
        <v>ссылка на книгу</v>
      </c>
      <c r="Y1821" s="34" t="str">
        <f>HYPERLINK("https://api-enni.alpina.ru/FileCertificateProject/716","https://api-enni.alpina.ru/FileCertificateProject/716")</f>
        <v>https://api-enni.alpina.ru/FileCertificateProject/716</v>
      </c>
      <c r="Z1821" s="13"/>
      <c r="AT1821" s="1">
        <f t="shared" si="345"/>
        <v>0</v>
      </c>
      <c r="AU1821" s="1">
        <f t="shared" si="346"/>
        <v>0</v>
      </c>
      <c r="AV1821" s="1">
        <f t="shared" si="347"/>
        <v>0</v>
      </c>
      <c r="AW1821" s="1">
        <f t="shared" si="348"/>
        <v>0</v>
      </c>
      <c r="AX1821" s="1">
        <f t="shared" si="349"/>
        <v>0</v>
      </c>
    </row>
    <row r="1822" spans="1:50" s="1" customFormat="1" ht="24.95" customHeight="1" outlineLevel="3" x14ac:dyDescent="0.2">
      <c r="A1822" s="11"/>
      <c r="B1822" s="12">
        <v>640</v>
      </c>
      <c r="C1822" s="12">
        <v>940</v>
      </c>
      <c r="D1822" s="12">
        <v>29769</v>
      </c>
      <c r="E1822" s="13" t="s">
        <v>5953</v>
      </c>
      <c r="F1822" s="13" t="s">
        <v>5958</v>
      </c>
      <c r="G1822" s="13" t="s">
        <v>163</v>
      </c>
      <c r="H1822" s="13" t="s">
        <v>40</v>
      </c>
      <c r="I1822" s="12">
        <v>2024</v>
      </c>
      <c r="J1822" s="13" t="s">
        <v>5959</v>
      </c>
      <c r="K1822" s="12">
        <v>9785961493825</v>
      </c>
      <c r="L1822" s="13" t="s">
        <v>5960</v>
      </c>
      <c r="M1822" s="12">
        <v>56</v>
      </c>
      <c r="N1822" s="14">
        <v>0.32</v>
      </c>
      <c r="O1822" s="12">
        <v>210</v>
      </c>
      <c r="P1822" s="12">
        <v>300</v>
      </c>
      <c r="Q1822" s="12">
        <v>25</v>
      </c>
      <c r="R1822" s="13" t="s">
        <v>167</v>
      </c>
      <c r="S1822" s="13" t="s">
        <v>5957</v>
      </c>
      <c r="T1822" s="15">
        <v>2000</v>
      </c>
      <c r="U1822" s="13" t="s">
        <v>44</v>
      </c>
      <c r="V1822" s="13" t="s">
        <v>269</v>
      </c>
      <c r="W1822" s="12">
        <v>10</v>
      </c>
      <c r="X1822" s="33" t="str">
        <f>HYPERLINK("https://www.alpinabook.ru/catalog/book-umnye-otkrytiya-nasekomye","ссылка на книгу")</f>
        <v>ссылка на книгу</v>
      </c>
      <c r="Y1822" s="34" t="str">
        <f>HYPERLINK("https://api-enni.alpina.ru/FileCertificateProject/717","https://api-enni.alpina.ru/FileCertificateProject/717")</f>
        <v>https://api-enni.alpina.ru/FileCertificateProject/717</v>
      </c>
      <c r="Z1822" s="13"/>
      <c r="AT1822" s="1">
        <f t="shared" si="345"/>
        <v>0</v>
      </c>
      <c r="AU1822" s="1">
        <f t="shared" si="346"/>
        <v>0</v>
      </c>
      <c r="AV1822" s="1">
        <f t="shared" si="347"/>
        <v>0</v>
      </c>
      <c r="AW1822" s="1">
        <f t="shared" si="348"/>
        <v>0</v>
      </c>
      <c r="AX1822" s="1">
        <f t="shared" si="349"/>
        <v>0</v>
      </c>
    </row>
    <row r="1823" spans="1:50" s="1" customFormat="1" ht="24.95" customHeight="1" outlineLevel="3" x14ac:dyDescent="0.2">
      <c r="A1823" s="11"/>
      <c r="B1823" s="12">
        <v>490</v>
      </c>
      <c r="C1823" s="12">
        <v>490</v>
      </c>
      <c r="D1823" s="12">
        <v>23411</v>
      </c>
      <c r="E1823" s="13" t="s">
        <v>5961</v>
      </c>
      <c r="F1823" s="13" t="s">
        <v>5962</v>
      </c>
      <c r="G1823" s="13" t="s">
        <v>163</v>
      </c>
      <c r="H1823" s="13"/>
      <c r="I1823" s="12">
        <v>2023</v>
      </c>
      <c r="J1823" s="13" t="s">
        <v>5963</v>
      </c>
      <c r="K1823" s="12">
        <v>9785961473032</v>
      </c>
      <c r="L1823" s="13" t="s">
        <v>5964</v>
      </c>
      <c r="M1823" s="12">
        <v>72</v>
      </c>
      <c r="N1823" s="14">
        <v>0.48</v>
      </c>
      <c r="O1823" s="12">
        <v>220</v>
      </c>
      <c r="P1823" s="12">
        <v>300</v>
      </c>
      <c r="Q1823" s="12">
        <v>10</v>
      </c>
      <c r="R1823" s="13" t="s">
        <v>167</v>
      </c>
      <c r="S1823" s="13"/>
      <c r="T1823" s="15">
        <v>1500</v>
      </c>
      <c r="U1823" s="13" t="s">
        <v>52</v>
      </c>
      <c r="V1823" s="13" t="s">
        <v>269</v>
      </c>
      <c r="W1823" s="12">
        <v>10</v>
      </c>
      <c r="X1823" s="33" t="str">
        <f>HYPERLINK("https://www.alpinabook.ru/catalog/book-chem-pakhnut-knigi","ссылка на книгу")</f>
        <v>ссылка на книгу</v>
      </c>
      <c r="Y1823" s="34" t="str">
        <f>HYPERLINK("https://api-enni.alpina.ru/FileCertificateProject/179","https://api-enni.alpina.ru/FileCertificateProject/179")</f>
        <v>https://api-enni.alpina.ru/FileCertificateProject/179</v>
      </c>
      <c r="Z1823" s="13"/>
      <c r="AT1823" s="1">
        <f t="shared" si="345"/>
        <v>0</v>
      </c>
      <c r="AU1823" s="1">
        <f t="shared" si="346"/>
        <v>0</v>
      </c>
      <c r="AV1823" s="1">
        <f t="shared" si="347"/>
        <v>0</v>
      </c>
      <c r="AW1823" s="1">
        <f t="shared" si="348"/>
        <v>0</v>
      </c>
      <c r="AX1823" s="1">
        <f t="shared" si="349"/>
        <v>0</v>
      </c>
    </row>
    <row r="1824" spans="1:50" s="1" customFormat="1" ht="24.95" customHeight="1" outlineLevel="3" x14ac:dyDescent="0.2">
      <c r="A1824" s="11"/>
      <c r="B1824" s="12">
        <v>200</v>
      </c>
      <c r="C1824" s="12">
        <v>340</v>
      </c>
      <c r="D1824" s="12">
        <v>28809</v>
      </c>
      <c r="E1824" s="13" t="s">
        <v>5965</v>
      </c>
      <c r="F1824" s="13" t="s">
        <v>5966</v>
      </c>
      <c r="G1824" s="13" t="s">
        <v>163</v>
      </c>
      <c r="H1824" s="13"/>
      <c r="I1824" s="12">
        <v>2023</v>
      </c>
      <c r="J1824" s="13" t="s">
        <v>5967</v>
      </c>
      <c r="K1824" s="12">
        <v>9785961490138</v>
      </c>
      <c r="L1824" s="13" t="s">
        <v>5968</v>
      </c>
      <c r="M1824" s="12">
        <v>64</v>
      </c>
      <c r="N1824" s="14">
        <v>0.12</v>
      </c>
      <c r="O1824" s="12">
        <v>140</v>
      </c>
      <c r="P1824" s="12">
        <v>210</v>
      </c>
      <c r="Q1824" s="12">
        <v>60</v>
      </c>
      <c r="R1824" s="13" t="s">
        <v>43</v>
      </c>
      <c r="S1824" s="13"/>
      <c r="T1824" s="15">
        <v>3000</v>
      </c>
      <c r="U1824" s="13" t="s">
        <v>44</v>
      </c>
      <c r="V1824" s="13" t="s">
        <v>269</v>
      </c>
      <c r="W1824" s="12">
        <v>10</v>
      </c>
      <c r="X1824" s="33" t="str">
        <f>HYPERLINK("https://www.alpinabook.ru/catalog/book-chitatelskiy-dnevnik","ссылка на книгу")</f>
        <v>ссылка на книгу</v>
      </c>
      <c r="Y1824" s="34" t="str">
        <f>HYPERLINK("https://api-enni.alpina.ru/FileCertificateProject/670","https://api-enni.alpina.ru/FileCertificateProject/670")</f>
        <v>https://api-enni.alpina.ru/FileCertificateProject/670</v>
      </c>
      <c r="Z1824" s="13"/>
      <c r="AT1824" s="1">
        <f t="shared" si="345"/>
        <v>0</v>
      </c>
      <c r="AU1824" s="1">
        <f t="shared" si="346"/>
        <v>0</v>
      </c>
      <c r="AV1824" s="1">
        <f t="shared" si="347"/>
        <v>0</v>
      </c>
      <c r="AW1824" s="1">
        <f t="shared" si="348"/>
        <v>0</v>
      </c>
      <c r="AX1824" s="1">
        <f t="shared" si="349"/>
        <v>0</v>
      </c>
    </row>
    <row r="1825" spans="1:50" s="1" customFormat="1" ht="24.95" customHeight="1" outlineLevel="3" x14ac:dyDescent="0.2">
      <c r="A1825" s="11"/>
      <c r="B1825" s="12">
        <v>790</v>
      </c>
      <c r="C1825" s="12">
        <v>790</v>
      </c>
      <c r="D1825" s="12">
        <v>26807</v>
      </c>
      <c r="E1825" s="13" t="s">
        <v>5969</v>
      </c>
      <c r="F1825" s="13" t="s">
        <v>5970</v>
      </c>
      <c r="G1825" s="13" t="s">
        <v>163</v>
      </c>
      <c r="H1825" s="13"/>
      <c r="I1825" s="12">
        <v>2024</v>
      </c>
      <c r="J1825" s="13" t="s">
        <v>5971</v>
      </c>
      <c r="K1825" s="12">
        <v>9785961483116</v>
      </c>
      <c r="L1825" s="13" t="s">
        <v>5972</v>
      </c>
      <c r="M1825" s="12">
        <v>136</v>
      </c>
      <c r="N1825" s="14">
        <v>0.6</v>
      </c>
      <c r="O1825" s="12">
        <v>210</v>
      </c>
      <c r="P1825" s="12">
        <v>270</v>
      </c>
      <c r="Q1825" s="12">
        <v>8</v>
      </c>
      <c r="R1825" s="13" t="s">
        <v>300</v>
      </c>
      <c r="S1825" s="13"/>
      <c r="T1825" s="15">
        <v>10000</v>
      </c>
      <c r="U1825" s="13" t="s">
        <v>52</v>
      </c>
      <c r="V1825" s="13" t="s">
        <v>5626</v>
      </c>
      <c r="W1825" s="12">
        <v>10</v>
      </c>
      <c r="X1825" s="33" t="str">
        <f>HYPERLINK("https://www.alpinabook.ru/catalog/book-chudesa-v-karmashke","ссылка на книгу")</f>
        <v>ссылка на книгу</v>
      </c>
      <c r="Y1825" s="34" t="str">
        <f>HYPERLINK("https://api-enni.alpina.ru/FileCertificateProject/664","https://api-enni.alpina.ru/FileCertificateProject/664")</f>
        <v>https://api-enni.alpina.ru/FileCertificateProject/664</v>
      </c>
      <c r="Z1825" s="13"/>
      <c r="AT1825" s="1">
        <f t="shared" si="345"/>
        <v>0</v>
      </c>
      <c r="AU1825" s="1">
        <f t="shared" si="346"/>
        <v>0</v>
      </c>
      <c r="AV1825" s="1">
        <f t="shared" si="347"/>
        <v>0</v>
      </c>
      <c r="AW1825" s="1">
        <f t="shared" si="348"/>
        <v>0</v>
      </c>
      <c r="AX1825" s="1">
        <f t="shared" si="349"/>
        <v>0</v>
      </c>
    </row>
    <row r="1826" spans="1:50" s="1" customFormat="1" ht="24.95" customHeight="1" outlineLevel="3" x14ac:dyDescent="0.2">
      <c r="A1826" s="11"/>
      <c r="B1826" s="12">
        <v>340</v>
      </c>
      <c r="C1826" s="12">
        <v>540</v>
      </c>
      <c r="D1826" s="12">
        <v>27779</v>
      </c>
      <c r="E1826" s="13" t="s">
        <v>5749</v>
      </c>
      <c r="F1826" s="13" t="s">
        <v>5973</v>
      </c>
      <c r="G1826" s="13" t="s">
        <v>163</v>
      </c>
      <c r="H1826" s="13"/>
      <c r="I1826" s="12">
        <v>2023</v>
      </c>
      <c r="J1826" s="13" t="s">
        <v>5974</v>
      </c>
      <c r="K1826" s="12">
        <v>9785961486339</v>
      </c>
      <c r="L1826" s="13" t="s">
        <v>5975</v>
      </c>
      <c r="M1826" s="12">
        <v>48</v>
      </c>
      <c r="N1826" s="14">
        <v>0.22</v>
      </c>
      <c r="O1826" s="12">
        <v>200</v>
      </c>
      <c r="P1826" s="12">
        <v>260</v>
      </c>
      <c r="Q1826" s="12">
        <v>20</v>
      </c>
      <c r="R1826" s="13" t="s">
        <v>300</v>
      </c>
      <c r="S1826" s="13" t="s">
        <v>5753</v>
      </c>
      <c r="T1826" s="15">
        <v>3000</v>
      </c>
      <c r="U1826" s="13" t="s">
        <v>44</v>
      </c>
      <c r="V1826" s="13" t="s">
        <v>269</v>
      </c>
      <c r="W1826" s="12">
        <v>10</v>
      </c>
      <c r="X1826" s="33" t="str">
        <f>HYPERLINK("https://www.alpinabook.ru/catalog/book-puteshestvie-v-chudiniyu","ссылка на книгу")</f>
        <v>ссылка на книгу</v>
      </c>
      <c r="Y1826" s="34" t="str">
        <f>HYPERLINK("https://api-enni.alpina.ru/FileCertificateProject/470","https://api-enni.alpina.ru/FileCertificateProject/470")</f>
        <v>https://api-enni.alpina.ru/FileCertificateProject/470</v>
      </c>
      <c r="Z1826" s="13"/>
      <c r="AT1826" s="1">
        <f t="shared" si="345"/>
        <v>0</v>
      </c>
      <c r="AU1826" s="1">
        <f t="shared" si="346"/>
        <v>0</v>
      </c>
      <c r="AV1826" s="1">
        <f t="shared" si="347"/>
        <v>0</v>
      </c>
      <c r="AW1826" s="1">
        <f t="shared" si="348"/>
        <v>0</v>
      </c>
      <c r="AX1826" s="1">
        <f t="shared" si="349"/>
        <v>0</v>
      </c>
    </row>
    <row r="1827" spans="1:50" s="1" customFormat="1" ht="24.95" customHeight="1" outlineLevel="3" x14ac:dyDescent="0.2">
      <c r="A1827" s="11"/>
      <c r="B1827" s="12">
        <v>440</v>
      </c>
      <c r="C1827" s="12">
        <v>440</v>
      </c>
      <c r="D1827" s="12">
        <v>24147</v>
      </c>
      <c r="E1827" s="13" t="s">
        <v>5976</v>
      </c>
      <c r="F1827" s="13" t="s">
        <v>5977</v>
      </c>
      <c r="G1827" s="13" t="s">
        <v>163</v>
      </c>
      <c r="H1827" s="13"/>
      <c r="I1827" s="12">
        <v>2022</v>
      </c>
      <c r="J1827" s="13" t="s">
        <v>5978</v>
      </c>
      <c r="K1827" s="12">
        <v>9785961474633</v>
      </c>
      <c r="L1827" s="13" t="s">
        <v>5979</v>
      </c>
      <c r="M1827" s="12">
        <v>32</v>
      </c>
      <c r="N1827" s="14">
        <v>0.27</v>
      </c>
      <c r="O1827" s="12">
        <v>226</v>
      </c>
      <c r="P1827" s="12">
        <v>226</v>
      </c>
      <c r="Q1827" s="12">
        <v>20</v>
      </c>
      <c r="R1827" s="13" t="s">
        <v>300</v>
      </c>
      <c r="S1827" s="13" t="s">
        <v>5980</v>
      </c>
      <c r="T1827" s="15">
        <v>3000</v>
      </c>
      <c r="U1827" s="13" t="s">
        <v>52</v>
      </c>
      <c r="V1827" s="13" t="s">
        <v>269</v>
      </c>
      <c r="W1827" s="12">
        <v>10</v>
      </c>
      <c r="X1827" s="33" t="str">
        <f>HYPERLINK("https://www.alpinabook.ru/catalog/book-sheriki-v-mire-finansov","ссылка на книгу")</f>
        <v>ссылка на книгу</v>
      </c>
      <c r="Y1827" s="34" t="str">
        <f>HYPERLINK("https://api-enni.alpina.ru/FileCertificateProject/535","https://api-enni.alpina.ru/FileCertificateProject/535")</f>
        <v>https://api-enni.alpina.ru/FileCertificateProject/535</v>
      </c>
      <c r="Z1827" s="13"/>
      <c r="AT1827" s="1">
        <f t="shared" si="345"/>
        <v>0</v>
      </c>
      <c r="AU1827" s="1">
        <f t="shared" si="346"/>
        <v>0</v>
      </c>
      <c r="AV1827" s="1">
        <f t="shared" si="347"/>
        <v>0</v>
      </c>
      <c r="AW1827" s="1">
        <f t="shared" si="348"/>
        <v>0</v>
      </c>
      <c r="AX1827" s="1">
        <f t="shared" si="349"/>
        <v>0</v>
      </c>
    </row>
    <row r="1828" spans="1:50" s="1" customFormat="1" ht="24.95" customHeight="1" outlineLevel="3" x14ac:dyDescent="0.2">
      <c r="A1828" s="11"/>
      <c r="B1828" s="12">
        <v>440</v>
      </c>
      <c r="C1828" s="12">
        <v>440</v>
      </c>
      <c r="D1828" s="12">
        <v>24149</v>
      </c>
      <c r="E1828" s="13" t="s">
        <v>5976</v>
      </c>
      <c r="F1828" s="13" t="s">
        <v>5981</v>
      </c>
      <c r="G1828" s="13" t="s">
        <v>163</v>
      </c>
      <c r="H1828" s="13"/>
      <c r="I1828" s="12">
        <v>2022</v>
      </c>
      <c r="J1828" s="13" t="s">
        <v>5982</v>
      </c>
      <c r="K1828" s="12">
        <v>9785961474640</v>
      </c>
      <c r="L1828" s="13" t="s">
        <v>5983</v>
      </c>
      <c r="M1828" s="12">
        <v>32</v>
      </c>
      <c r="N1828" s="14">
        <v>0.3</v>
      </c>
      <c r="O1828" s="12">
        <v>225</v>
      </c>
      <c r="P1828" s="12">
        <v>226</v>
      </c>
      <c r="Q1828" s="12">
        <v>20</v>
      </c>
      <c r="R1828" s="13" t="s">
        <v>300</v>
      </c>
      <c r="S1828" s="13" t="s">
        <v>5980</v>
      </c>
      <c r="T1828" s="15">
        <v>3000</v>
      </c>
      <c r="U1828" s="13" t="s">
        <v>52</v>
      </c>
      <c r="V1828" s="13" t="s">
        <v>269</v>
      </c>
      <c r="W1828" s="12">
        <v>10</v>
      </c>
      <c r="X1828" s="33" t="str">
        <f>HYPERLINK("https://www.alpinabook.ru/catalog/book-sheriki-i-dengi-raznykh-stran","ссылка на книгу")</f>
        <v>ссылка на книгу</v>
      </c>
      <c r="Y1828" s="34" t="str">
        <f>HYPERLINK("https://api-enni.alpina.ru/FileCertificateProject/534","https://api-enni.alpina.ru/FileCertificateProject/534")</f>
        <v>https://api-enni.alpina.ru/FileCertificateProject/534</v>
      </c>
      <c r="Z1828" s="13"/>
      <c r="AT1828" s="1">
        <f t="shared" si="345"/>
        <v>0</v>
      </c>
      <c r="AU1828" s="1">
        <f t="shared" si="346"/>
        <v>0</v>
      </c>
      <c r="AV1828" s="1">
        <f t="shared" si="347"/>
        <v>0</v>
      </c>
      <c r="AW1828" s="1">
        <f t="shared" si="348"/>
        <v>0</v>
      </c>
      <c r="AX1828" s="1">
        <f t="shared" si="349"/>
        <v>0</v>
      </c>
    </row>
    <row r="1829" spans="1:50" s="1" customFormat="1" ht="24.95" customHeight="1" outlineLevel="3" x14ac:dyDescent="0.2">
      <c r="A1829" s="11"/>
      <c r="B1829" s="12">
        <v>440</v>
      </c>
      <c r="C1829" s="12">
        <v>440</v>
      </c>
      <c r="D1829" s="12">
        <v>24157</v>
      </c>
      <c r="E1829" s="13" t="s">
        <v>5976</v>
      </c>
      <c r="F1829" s="13" t="s">
        <v>5984</v>
      </c>
      <c r="G1829" s="13" t="s">
        <v>163</v>
      </c>
      <c r="H1829" s="13"/>
      <c r="I1829" s="12">
        <v>2022</v>
      </c>
      <c r="J1829" s="13" t="s">
        <v>5985</v>
      </c>
      <c r="K1829" s="12">
        <v>9785961474657</v>
      </c>
      <c r="L1829" s="13" t="s">
        <v>5986</v>
      </c>
      <c r="M1829" s="12">
        <v>32</v>
      </c>
      <c r="N1829" s="14">
        <v>0.3</v>
      </c>
      <c r="O1829" s="12">
        <v>225</v>
      </c>
      <c r="P1829" s="12">
        <v>226</v>
      </c>
      <c r="Q1829" s="12">
        <v>20</v>
      </c>
      <c r="R1829" s="13" t="s">
        <v>300</v>
      </c>
      <c r="S1829" s="13" t="s">
        <v>5980</v>
      </c>
      <c r="T1829" s="15">
        <v>3000</v>
      </c>
      <c r="U1829" s="13" t="s">
        <v>52</v>
      </c>
      <c r="V1829" s="13" t="s">
        <v>269</v>
      </c>
      <c r="W1829" s="12">
        <v>10</v>
      </c>
      <c r="X1829" s="33" t="str">
        <f>HYPERLINK("https://www.alpinabook.ru/catalog/book-sheriki-i-uroki-finansovoy-gramotnosti","ссылка на книгу")</f>
        <v>ссылка на книгу</v>
      </c>
      <c r="Y1829" s="34" t="str">
        <f>HYPERLINK("https://api-enni.alpina.ru/FileCertificateProject/696","https://api-enni.alpina.ru/FileCertificateProject/696")</f>
        <v>https://api-enni.alpina.ru/FileCertificateProject/696</v>
      </c>
      <c r="Z1829" s="13"/>
      <c r="AT1829" s="1">
        <f t="shared" si="345"/>
        <v>0</v>
      </c>
      <c r="AU1829" s="1">
        <f t="shared" si="346"/>
        <v>0</v>
      </c>
      <c r="AV1829" s="1">
        <f t="shared" si="347"/>
        <v>0</v>
      </c>
      <c r="AW1829" s="1">
        <f t="shared" si="348"/>
        <v>0</v>
      </c>
      <c r="AX1829" s="1">
        <f t="shared" si="349"/>
        <v>0</v>
      </c>
    </row>
    <row r="1830" spans="1:50" s="1" customFormat="1" ht="24.95" customHeight="1" outlineLevel="3" x14ac:dyDescent="0.2">
      <c r="A1830" s="11"/>
      <c r="B1830" s="12">
        <v>340</v>
      </c>
      <c r="C1830" s="12">
        <v>540</v>
      </c>
      <c r="D1830" s="12">
        <v>31157</v>
      </c>
      <c r="E1830" s="13" t="s">
        <v>5987</v>
      </c>
      <c r="F1830" s="13" t="s">
        <v>5988</v>
      </c>
      <c r="G1830" s="13" t="s">
        <v>163</v>
      </c>
      <c r="H1830" s="13"/>
      <c r="I1830" s="12">
        <v>2024</v>
      </c>
      <c r="J1830" s="13" t="s">
        <v>5989</v>
      </c>
      <c r="K1830" s="12">
        <v>9785961497748</v>
      </c>
      <c r="L1830" s="13" t="s">
        <v>5990</v>
      </c>
      <c r="M1830" s="12">
        <v>32</v>
      </c>
      <c r="N1830" s="14">
        <v>0.2</v>
      </c>
      <c r="O1830" s="12">
        <v>180</v>
      </c>
      <c r="P1830" s="12">
        <v>180</v>
      </c>
      <c r="Q1830" s="12">
        <v>20</v>
      </c>
      <c r="R1830" s="13" t="s">
        <v>300</v>
      </c>
      <c r="S1830" s="13" t="s">
        <v>5991</v>
      </c>
      <c r="T1830" s="15">
        <v>3000</v>
      </c>
      <c r="U1830" s="13" t="s">
        <v>52</v>
      </c>
      <c r="V1830" s="13" t="s">
        <v>64</v>
      </c>
      <c r="W1830" s="12">
        <v>10</v>
      </c>
      <c r="X1830" s="33" t="str">
        <f>HYPERLINK("https://www.alpinabook.ru/catalog/book-ya-znayu-chto-ya-em-moloko","ссылка на книгу")</f>
        <v>ссылка на книгу</v>
      </c>
      <c r="Y1830" s="34" t="str">
        <f>HYPERLINK("https://api-enni.alpina.ru/FileCertificateProject/532","https://api-enni.alpina.ru/FileCertificateProject/532")</f>
        <v>https://api-enni.alpina.ru/FileCertificateProject/532</v>
      </c>
      <c r="Z1830" s="13"/>
      <c r="AT1830" s="1">
        <f t="shared" si="345"/>
        <v>0</v>
      </c>
      <c r="AU1830" s="1">
        <f t="shared" si="346"/>
        <v>0</v>
      </c>
      <c r="AV1830" s="1">
        <f t="shared" si="347"/>
        <v>0</v>
      </c>
      <c r="AW1830" s="1">
        <f t="shared" si="348"/>
        <v>0</v>
      </c>
      <c r="AX1830" s="1">
        <f t="shared" si="349"/>
        <v>0</v>
      </c>
    </row>
    <row r="1831" spans="1:50" s="1" customFormat="1" ht="24.95" customHeight="1" outlineLevel="3" x14ac:dyDescent="0.2">
      <c r="A1831" s="11"/>
      <c r="B1831" s="12">
        <v>340</v>
      </c>
      <c r="C1831" s="12">
        <v>540</v>
      </c>
      <c r="D1831" s="12">
        <v>31159</v>
      </c>
      <c r="E1831" s="13" t="s">
        <v>5987</v>
      </c>
      <c r="F1831" s="13" t="s">
        <v>5992</v>
      </c>
      <c r="G1831" s="13" t="s">
        <v>163</v>
      </c>
      <c r="H1831" s="13"/>
      <c r="I1831" s="12">
        <v>2024</v>
      </c>
      <c r="J1831" s="13" t="s">
        <v>5993</v>
      </c>
      <c r="K1831" s="12">
        <v>9785961497755</v>
      </c>
      <c r="L1831" s="13" t="s">
        <v>5994</v>
      </c>
      <c r="M1831" s="12">
        <v>32</v>
      </c>
      <c r="N1831" s="14">
        <v>0.2</v>
      </c>
      <c r="O1831" s="12">
        <v>180</v>
      </c>
      <c r="P1831" s="12">
        <v>180</v>
      </c>
      <c r="Q1831" s="12">
        <v>20</v>
      </c>
      <c r="R1831" s="13" t="s">
        <v>300</v>
      </c>
      <c r="S1831" s="13" t="s">
        <v>5991</v>
      </c>
      <c r="T1831" s="15">
        <v>3000</v>
      </c>
      <c r="U1831" s="13" t="s">
        <v>52</v>
      </c>
      <c r="V1831" s="13" t="s">
        <v>64</v>
      </c>
      <c r="W1831" s="12">
        <v>10</v>
      </c>
      <c r="X1831" s="33" t="str">
        <f>HYPERLINK("https://www.alpinabook.ru/catalog/book-ya-znayu-chto-ya-em-khleb","ссылка на книгу")</f>
        <v>ссылка на книгу</v>
      </c>
      <c r="Y1831" s="34" t="str">
        <f>HYPERLINK("https://api-enni.alpina.ru/FileCertificateProject/533","https://api-enni.alpina.ru/FileCertificateProject/533")</f>
        <v>https://api-enni.alpina.ru/FileCertificateProject/533</v>
      </c>
      <c r="Z1831" s="13"/>
      <c r="AT1831" s="1">
        <f t="shared" si="345"/>
        <v>0</v>
      </c>
      <c r="AU1831" s="1">
        <f t="shared" si="346"/>
        <v>0</v>
      </c>
      <c r="AV1831" s="1">
        <f t="shared" si="347"/>
        <v>0</v>
      </c>
      <c r="AW1831" s="1">
        <f t="shared" si="348"/>
        <v>0</v>
      </c>
      <c r="AX1831" s="1">
        <f t="shared" si="349"/>
        <v>0</v>
      </c>
    </row>
    <row r="1832" spans="1:50" s="1" customFormat="1" ht="24.95" customHeight="1" outlineLevel="3" x14ac:dyDescent="0.2">
      <c r="A1832" s="11"/>
      <c r="B1832" s="12">
        <v>340</v>
      </c>
      <c r="C1832" s="12">
        <v>540</v>
      </c>
      <c r="D1832" s="12">
        <v>28709</v>
      </c>
      <c r="E1832" s="13" t="s">
        <v>5987</v>
      </c>
      <c r="F1832" s="13" t="s">
        <v>5995</v>
      </c>
      <c r="G1832" s="13" t="s">
        <v>163</v>
      </c>
      <c r="H1832" s="13"/>
      <c r="I1832" s="12">
        <v>2024</v>
      </c>
      <c r="J1832" s="13" t="s">
        <v>5996</v>
      </c>
      <c r="K1832" s="12">
        <v>9785961489781</v>
      </c>
      <c r="L1832" s="13" t="s">
        <v>5997</v>
      </c>
      <c r="M1832" s="12">
        <v>32</v>
      </c>
      <c r="N1832" s="14">
        <v>0.19</v>
      </c>
      <c r="O1832" s="12">
        <v>180</v>
      </c>
      <c r="P1832" s="12">
        <v>190</v>
      </c>
      <c r="Q1832" s="12">
        <v>20</v>
      </c>
      <c r="R1832" s="13" t="s">
        <v>300</v>
      </c>
      <c r="S1832" s="13" t="s">
        <v>5991</v>
      </c>
      <c r="T1832" s="15">
        <v>5000</v>
      </c>
      <c r="U1832" s="13" t="s">
        <v>52</v>
      </c>
      <c r="V1832" s="13" t="s">
        <v>5626</v>
      </c>
      <c r="W1832" s="12">
        <v>10</v>
      </c>
      <c r="X1832" s="33" t="str">
        <f>HYPERLINK("https://www.alpinabook.ru/catalog/book-ya-znayu-chto-ya-em-krupy","ссылка на книгу")</f>
        <v>ссылка на книгу</v>
      </c>
      <c r="Y1832" s="34" t="str">
        <f>HYPERLINK("https://api-enni.alpina.ru/FileCertificateProject/528","https://api-enni.alpina.ru/FileCertificateProject/528")</f>
        <v>https://api-enni.alpina.ru/FileCertificateProject/528</v>
      </c>
      <c r="Z1832" s="13"/>
      <c r="AT1832" s="1">
        <f t="shared" si="345"/>
        <v>0</v>
      </c>
      <c r="AU1832" s="1">
        <f t="shared" si="346"/>
        <v>0</v>
      </c>
      <c r="AV1832" s="1">
        <f t="shared" si="347"/>
        <v>0</v>
      </c>
      <c r="AW1832" s="1">
        <f t="shared" si="348"/>
        <v>0</v>
      </c>
      <c r="AX1832" s="1">
        <f t="shared" si="349"/>
        <v>0</v>
      </c>
    </row>
    <row r="1833" spans="1:50" s="1" customFormat="1" ht="24.95" customHeight="1" outlineLevel="3" x14ac:dyDescent="0.2">
      <c r="A1833" s="11"/>
      <c r="B1833" s="12">
        <v>340</v>
      </c>
      <c r="C1833" s="12">
        <v>540</v>
      </c>
      <c r="D1833" s="12">
        <v>28707</v>
      </c>
      <c r="E1833" s="13" t="s">
        <v>5987</v>
      </c>
      <c r="F1833" s="13" t="s">
        <v>5998</v>
      </c>
      <c r="G1833" s="13" t="s">
        <v>163</v>
      </c>
      <c r="H1833" s="13"/>
      <c r="I1833" s="12">
        <v>2023</v>
      </c>
      <c r="J1833" s="13" t="s">
        <v>5999</v>
      </c>
      <c r="K1833" s="12">
        <v>9785961489767</v>
      </c>
      <c r="L1833" s="13" t="s">
        <v>6000</v>
      </c>
      <c r="M1833" s="12">
        <v>32</v>
      </c>
      <c r="N1833" s="14">
        <v>0.19</v>
      </c>
      <c r="O1833" s="12">
        <v>190</v>
      </c>
      <c r="P1833" s="12">
        <v>180</v>
      </c>
      <c r="Q1833" s="12">
        <v>30</v>
      </c>
      <c r="R1833" s="13" t="s">
        <v>300</v>
      </c>
      <c r="S1833" s="13" t="s">
        <v>5991</v>
      </c>
      <c r="T1833" s="15">
        <v>5000</v>
      </c>
      <c r="U1833" s="13" t="s">
        <v>52</v>
      </c>
      <c r="V1833" s="13" t="s">
        <v>5626</v>
      </c>
      <c r="W1833" s="12">
        <v>10</v>
      </c>
      <c r="X1833" s="33" t="str">
        <f>HYPERLINK("https://www.alpinabook.ru/catalog/book-ya-znayu-chto-ya-em-ovoshchi","ссылка на книгу")</f>
        <v>ссылка на книгу</v>
      </c>
      <c r="Y1833" s="34" t="str">
        <f>HYPERLINK("https://api-enni.alpina.ru/FileCertificateProject/531","https://api-enni.alpina.ru/FileCertificateProject/531")</f>
        <v>https://api-enni.alpina.ru/FileCertificateProject/531</v>
      </c>
      <c r="Z1833" s="13"/>
      <c r="AT1833" s="1">
        <f t="shared" si="345"/>
        <v>0</v>
      </c>
      <c r="AU1833" s="1">
        <f t="shared" si="346"/>
        <v>0</v>
      </c>
      <c r="AV1833" s="1">
        <f t="shared" si="347"/>
        <v>0</v>
      </c>
      <c r="AW1833" s="1">
        <f t="shared" si="348"/>
        <v>0</v>
      </c>
      <c r="AX1833" s="1">
        <f t="shared" si="349"/>
        <v>0</v>
      </c>
    </row>
    <row r="1834" spans="1:50" s="1" customFormat="1" ht="24.95" customHeight="1" outlineLevel="3" x14ac:dyDescent="0.2">
      <c r="A1834" s="11"/>
      <c r="B1834" s="12">
        <v>340</v>
      </c>
      <c r="C1834" s="12">
        <v>540</v>
      </c>
      <c r="D1834" s="12">
        <v>28708</v>
      </c>
      <c r="E1834" s="13" t="s">
        <v>5987</v>
      </c>
      <c r="F1834" s="13" t="s">
        <v>6001</v>
      </c>
      <c r="G1834" s="13" t="s">
        <v>163</v>
      </c>
      <c r="H1834" s="13"/>
      <c r="I1834" s="12">
        <v>2023</v>
      </c>
      <c r="J1834" s="13" t="s">
        <v>6002</v>
      </c>
      <c r="K1834" s="12">
        <v>9785961489774</v>
      </c>
      <c r="L1834" s="13" t="s">
        <v>6003</v>
      </c>
      <c r="M1834" s="12">
        <v>32</v>
      </c>
      <c r="N1834" s="14">
        <v>0.19</v>
      </c>
      <c r="O1834" s="12">
        <v>190</v>
      </c>
      <c r="P1834" s="12">
        <v>180</v>
      </c>
      <c r="Q1834" s="12">
        <v>30</v>
      </c>
      <c r="R1834" s="13" t="s">
        <v>300</v>
      </c>
      <c r="S1834" s="13" t="s">
        <v>5991</v>
      </c>
      <c r="T1834" s="15">
        <v>5000</v>
      </c>
      <c r="U1834" s="13" t="s">
        <v>52</v>
      </c>
      <c r="V1834" s="13" t="s">
        <v>5626</v>
      </c>
      <c r="W1834" s="12">
        <v>10</v>
      </c>
      <c r="X1834" s="33" t="str">
        <f>HYPERLINK("https://www.alpinabook.ru/catalog/book-ya-znayu-chto-ya-em-frukty","ссылка на книгу")</f>
        <v>ссылка на книгу</v>
      </c>
      <c r="Y1834" s="34" t="str">
        <f>HYPERLINK("https://api-enni.alpina.ru/FileCertificateProject/530","https://api-enni.alpina.ru/FileCertificateProject/530")</f>
        <v>https://api-enni.alpina.ru/FileCertificateProject/530</v>
      </c>
      <c r="Z1834" s="13"/>
      <c r="AT1834" s="1">
        <f t="shared" si="345"/>
        <v>0</v>
      </c>
      <c r="AU1834" s="1">
        <f t="shared" si="346"/>
        <v>0</v>
      </c>
      <c r="AV1834" s="1">
        <f t="shared" si="347"/>
        <v>0</v>
      </c>
      <c r="AW1834" s="1">
        <f t="shared" si="348"/>
        <v>0</v>
      </c>
      <c r="AX1834" s="1">
        <f t="shared" si="349"/>
        <v>0</v>
      </c>
    </row>
    <row r="1835" spans="1:50" s="1" customFormat="1" ht="24.95" customHeight="1" outlineLevel="3" x14ac:dyDescent="0.2">
      <c r="A1835" s="11"/>
      <c r="B1835" s="12">
        <v>980</v>
      </c>
      <c r="C1835" s="15">
        <v>1490</v>
      </c>
      <c r="D1835" s="12">
        <v>28727</v>
      </c>
      <c r="E1835" s="13" t="s">
        <v>6004</v>
      </c>
      <c r="F1835" s="13" t="s">
        <v>6005</v>
      </c>
      <c r="G1835" s="13" t="s">
        <v>163</v>
      </c>
      <c r="H1835" s="13"/>
      <c r="I1835" s="12">
        <v>2024</v>
      </c>
      <c r="J1835" s="13" t="s">
        <v>6006</v>
      </c>
      <c r="K1835" s="12">
        <v>9785961489866</v>
      </c>
      <c r="L1835" s="13" t="s">
        <v>6007</v>
      </c>
      <c r="M1835" s="12">
        <v>14</v>
      </c>
      <c r="N1835" s="14">
        <v>0.63</v>
      </c>
      <c r="O1835" s="12">
        <v>250</v>
      </c>
      <c r="P1835" s="12">
        <v>300</v>
      </c>
      <c r="Q1835" s="12">
        <v>6</v>
      </c>
      <c r="R1835" s="13" t="s">
        <v>167</v>
      </c>
      <c r="S1835" s="13" t="s">
        <v>6008</v>
      </c>
      <c r="T1835" s="15">
        <v>2000</v>
      </c>
      <c r="U1835" s="13" t="s">
        <v>44</v>
      </c>
      <c r="V1835" s="13" t="s">
        <v>64</v>
      </c>
      <c r="W1835" s="12">
        <v>10</v>
      </c>
      <c r="X1835" s="33" t="str">
        <f>HYPERLINK("https://www.alpinabook.ru/catalog/book-ya-idu-iskat-v-moskve","ссылка на книгу")</f>
        <v>ссылка на книгу</v>
      </c>
      <c r="Y1835" s="34" t="str">
        <f>HYPERLINK("https://api-enni.alpina.ru/FileCertificateProject/551","https://api-enni.alpina.ru/FileCertificateProject/551")</f>
        <v>https://api-enni.alpina.ru/FileCertificateProject/551</v>
      </c>
      <c r="Z1835" s="13"/>
      <c r="AT1835" s="1">
        <f t="shared" si="345"/>
        <v>0</v>
      </c>
      <c r="AU1835" s="1">
        <f t="shared" si="346"/>
        <v>0</v>
      </c>
      <c r="AV1835" s="1">
        <f t="shared" si="347"/>
        <v>0</v>
      </c>
      <c r="AW1835" s="1">
        <f t="shared" si="348"/>
        <v>0</v>
      </c>
      <c r="AX1835" s="1">
        <f t="shared" si="349"/>
        <v>0</v>
      </c>
    </row>
    <row r="1836" spans="1:50" s="1" customFormat="1" ht="24.95" customHeight="1" outlineLevel="3" x14ac:dyDescent="0.2">
      <c r="A1836" s="11"/>
      <c r="B1836" s="12">
        <v>980</v>
      </c>
      <c r="C1836" s="12">
        <v>980</v>
      </c>
      <c r="D1836" s="12">
        <v>25831</v>
      </c>
      <c r="E1836" s="13" t="s">
        <v>6004</v>
      </c>
      <c r="F1836" s="13" t="s">
        <v>6009</v>
      </c>
      <c r="G1836" s="13" t="s">
        <v>163</v>
      </c>
      <c r="H1836" s="13"/>
      <c r="I1836" s="12">
        <v>2025</v>
      </c>
      <c r="J1836" s="13" t="s">
        <v>6010</v>
      </c>
      <c r="K1836" s="12">
        <v>9785961478679</v>
      </c>
      <c r="L1836" s="13" t="s">
        <v>6011</v>
      </c>
      <c r="M1836" s="12">
        <v>14</v>
      </c>
      <c r="N1836" s="14">
        <v>0.62</v>
      </c>
      <c r="O1836" s="12">
        <v>250</v>
      </c>
      <c r="P1836" s="12">
        <v>300</v>
      </c>
      <c r="Q1836" s="12">
        <v>6</v>
      </c>
      <c r="R1836" s="13" t="s">
        <v>167</v>
      </c>
      <c r="S1836" s="13" t="s">
        <v>6008</v>
      </c>
      <c r="T1836" s="15">
        <v>2000</v>
      </c>
      <c r="U1836" s="13" t="s">
        <v>44</v>
      </c>
      <c r="V1836" s="13" t="s">
        <v>269</v>
      </c>
      <c r="W1836" s="12">
        <v>10</v>
      </c>
      <c r="X1836" s="33" t="str">
        <f>HYPERLINK("https://www.alpinabook.ru/catalog/book-ya-idu-iskat-v-sankt-peterburge","ссылка на книгу")</f>
        <v>ссылка на книгу</v>
      </c>
      <c r="Y1836" s="34" t="str">
        <f>HYPERLINK("https://api-enni.alpina.ru/FileCertificateProject/552","https://api-enni.alpina.ru/FileCertificateProject/552")</f>
        <v>https://api-enni.alpina.ru/FileCertificateProject/552</v>
      </c>
      <c r="Z1836" s="13" t="s">
        <v>847</v>
      </c>
      <c r="AT1836" s="1">
        <f t="shared" si="345"/>
        <v>0</v>
      </c>
      <c r="AU1836" s="1">
        <f t="shared" si="346"/>
        <v>0</v>
      </c>
      <c r="AV1836" s="1">
        <f t="shared" si="347"/>
        <v>0</v>
      </c>
      <c r="AW1836" s="1">
        <f t="shared" si="348"/>
        <v>0</v>
      </c>
      <c r="AX1836" s="1">
        <f t="shared" si="349"/>
        <v>0</v>
      </c>
    </row>
    <row r="1837" spans="1:50" ht="11.1" customHeight="1" outlineLevel="2" x14ac:dyDescent="0.2">
      <c r="A1837" s="40" t="s">
        <v>6012</v>
      </c>
      <c r="B1837" s="40"/>
      <c r="C1837" s="40"/>
      <c r="D1837" s="40"/>
      <c r="E1837" s="40"/>
      <c r="F1837" s="40"/>
      <c r="G1837" s="40"/>
      <c r="H1837" s="40"/>
      <c r="I1837" s="40"/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20"/>
    </row>
    <row r="1838" spans="1:50" s="1" customFormat="1" ht="24.95" customHeight="1" outlineLevel="3" x14ac:dyDescent="0.2">
      <c r="A1838" s="11"/>
      <c r="B1838" s="12">
        <v>175</v>
      </c>
      <c r="C1838" s="12">
        <v>290</v>
      </c>
      <c r="D1838" s="12">
        <v>25945</v>
      </c>
      <c r="E1838" s="13" t="s">
        <v>6013</v>
      </c>
      <c r="F1838" s="13" t="s">
        <v>6014</v>
      </c>
      <c r="G1838" s="13" t="s">
        <v>163</v>
      </c>
      <c r="H1838" s="13"/>
      <c r="I1838" s="12">
        <v>2022</v>
      </c>
      <c r="J1838" s="13" t="s">
        <v>6015</v>
      </c>
      <c r="K1838" s="12">
        <v>9785961479058</v>
      </c>
      <c r="L1838" s="13" t="s">
        <v>6016</v>
      </c>
      <c r="M1838" s="12">
        <v>32</v>
      </c>
      <c r="N1838" s="14">
        <v>0.12</v>
      </c>
      <c r="O1838" s="12">
        <v>189</v>
      </c>
      <c r="P1838" s="12">
        <v>262</v>
      </c>
      <c r="Q1838" s="12">
        <v>40</v>
      </c>
      <c r="R1838" s="13" t="s">
        <v>167</v>
      </c>
      <c r="S1838" s="13" t="s">
        <v>6017</v>
      </c>
      <c r="T1838" s="15">
        <v>2000</v>
      </c>
      <c r="U1838" s="13" t="s">
        <v>44</v>
      </c>
      <c r="V1838" s="13" t="s">
        <v>5626</v>
      </c>
      <c r="W1838" s="12">
        <v>10</v>
      </c>
      <c r="X1838" s="33" t="str">
        <f>HYPERLINK("https://www.alpinabook.ru/catalog/book-ya-angliyskiy-buldog","ссылка на книгу")</f>
        <v>ссылка на книгу</v>
      </c>
      <c r="Y1838" s="34" t="str">
        <f>HYPERLINK("https://api-enni.alpina.ru/FileCertificateProject/4","https://api-enni.alpina.ru/FileCertificateProject/4")</f>
        <v>https://api-enni.alpina.ru/FileCertificateProject/4</v>
      </c>
      <c r="Z1838" s="13"/>
      <c r="AT1838" s="1">
        <f t="shared" ref="AT1838:AT1855" si="350">IF($A1838&lt;&gt;0,1,0)</f>
        <v>0</v>
      </c>
      <c r="AU1838" s="1">
        <f t="shared" ref="AU1838:AU1855" si="351">$A1838*$B1838</f>
        <v>0</v>
      </c>
      <c r="AV1838" s="1">
        <f t="shared" ref="AV1838:AV1855" si="352">$A1838*$N1838</f>
        <v>0</v>
      </c>
      <c r="AW1838" s="1">
        <f t="shared" ref="AW1838:AW1855" si="353">IF($Q1838=0,0,INT($A1838/$Q1838))</f>
        <v>0</v>
      </c>
      <c r="AX1838" s="1">
        <f t="shared" ref="AX1838:AX1855" si="354">$A1838-$AW1838*$Q1838</f>
        <v>0</v>
      </c>
    </row>
    <row r="1839" spans="1:50" s="1" customFormat="1" ht="24.95" customHeight="1" outlineLevel="3" x14ac:dyDescent="0.2">
      <c r="A1839" s="11"/>
      <c r="B1839" s="12">
        <v>390</v>
      </c>
      <c r="C1839" s="12">
        <v>390</v>
      </c>
      <c r="D1839" s="12">
        <v>25120</v>
      </c>
      <c r="E1839" s="13" t="s">
        <v>6018</v>
      </c>
      <c r="F1839" s="13" t="s">
        <v>6019</v>
      </c>
      <c r="G1839" s="13" t="s">
        <v>163</v>
      </c>
      <c r="H1839" s="13"/>
      <c r="I1839" s="12">
        <v>2022</v>
      </c>
      <c r="J1839" s="13" t="s">
        <v>6020</v>
      </c>
      <c r="K1839" s="12">
        <v>9785961477795</v>
      </c>
      <c r="L1839" s="13" t="s">
        <v>6021</v>
      </c>
      <c r="M1839" s="12">
        <v>32</v>
      </c>
      <c r="N1839" s="14">
        <v>0.28999999999999998</v>
      </c>
      <c r="O1839" s="12">
        <v>196</v>
      </c>
      <c r="P1839" s="12">
        <v>269</v>
      </c>
      <c r="Q1839" s="12">
        <v>15</v>
      </c>
      <c r="R1839" s="13" t="s">
        <v>167</v>
      </c>
      <c r="S1839" s="13" t="s">
        <v>6017</v>
      </c>
      <c r="T1839" s="15">
        <v>2000</v>
      </c>
      <c r="U1839" s="13" t="s">
        <v>52</v>
      </c>
      <c r="V1839" s="13" t="s">
        <v>5626</v>
      </c>
      <c r="W1839" s="12">
        <v>10</v>
      </c>
      <c r="X1839" s="33" t="str">
        <f>HYPERLINK("https://www.alpinabook.ru/catalog/book-ya-begemot-s-raskraskami","ссылка на книгу")</f>
        <v>ссылка на книгу</v>
      </c>
      <c r="Y1839" s="34" t="str">
        <f>HYPERLINK("https://api-enni.alpina.ru/FileCertificateProject/37","https://api-enni.alpina.ru/FileCertificateProject/37")</f>
        <v>https://api-enni.alpina.ru/FileCertificateProject/37</v>
      </c>
      <c r="Z1839" s="13"/>
      <c r="AT1839" s="1">
        <f t="shared" si="350"/>
        <v>0</v>
      </c>
      <c r="AU1839" s="1">
        <f t="shared" si="351"/>
        <v>0</v>
      </c>
      <c r="AV1839" s="1">
        <f t="shared" si="352"/>
        <v>0</v>
      </c>
      <c r="AW1839" s="1">
        <f t="shared" si="353"/>
        <v>0</v>
      </c>
      <c r="AX1839" s="1">
        <f t="shared" si="354"/>
        <v>0</v>
      </c>
    </row>
    <row r="1840" spans="1:50" s="1" customFormat="1" ht="24.95" customHeight="1" outlineLevel="3" x14ac:dyDescent="0.2">
      <c r="A1840" s="11"/>
      <c r="B1840" s="12">
        <v>390</v>
      </c>
      <c r="C1840" s="12">
        <v>390</v>
      </c>
      <c r="D1840" s="12">
        <v>25417</v>
      </c>
      <c r="E1840" s="13" t="s">
        <v>6022</v>
      </c>
      <c r="F1840" s="13" t="s">
        <v>6023</v>
      </c>
      <c r="G1840" s="13" t="s">
        <v>163</v>
      </c>
      <c r="H1840" s="13"/>
      <c r="I1840" s="12">
        <v>2022</v>
      </c>
      <c r="J1840" s="13" t="s">
        <v>6024</v>
      </c>
      <c r="K1840" s="12">
        <v>9785961453379</v>
      </c>
      <c r="L1840" s="13" t="s">
        <v>6025</v>
      </c>
      <c r="M1840" s="12">
        <v>32</v>
      </c>
      <c r="N1840" s="14">
        <v>0.28999999999999998</v>
      </c>
      <c r="O1840" s="12">
        <v>196</v>
      </c>
      <c r="P1840" s="12">
        <v>268</v>
      </c>
      <c r="Q1840" s="12">
        <v>15</v>
      </c>
      <c r="R1840" s="13" t="s">
        <v>167</v>
      </c>
      <c r="S1840" s="13" t="s">
        <v>6017</v>
      </c>
      <c r="T1840" s="15">
        <v>2000</v>
      </c>
      <c r="U1840" s="13" t="s">
        <v>52</v>
      </c>
      <c r="V1840" s="13" t="s">
        <v>5626</v>
      </c>
      <c r="W1840" s="12">
        <v>10</v>
      </c>
      <c r="X1840" s="33" t="str">
        <f>HYPERLINK("https://www.alpinabook.ru/catalog/book-ya-belka-s-raskraskami","ссылка на книгу")</f>
        <v>ссылка на книгу</v>
      </c>
      <c r="Y1840" s="34" t="str">
        <f>HYPERLINK("https://api-enni.alpina.ru/FileCertificateProject/40","https://api-enni.alpina.ru/FileCertificateProject/40")</f>
        <v>https://api-enni.alpina.ru/FileCertificateProject/40</v>
      </c>
      <c r="Z1840" s="13"/>
      <c r="AT1840" s="1">
        <f t="shared" si="350"/>
        <v>0</v>
      </c>
      <c r="AU1840" s="1">
        <f t="shared" si="351"/>
        <v>0</v>
      </c>
      <c r="AV1840" s="1">
        <f t="shared" si="352"/>
        <v>0</v>
      </c>
      <c r="AW1840" s="1">
        <f t="shared" si="353"/>
        <v>0</v>
      </c>
      <c r="AX1840" s="1">
        <f t="shared" si="354"/>
        <v>0</v>
      </c>
    </row>
    <row r="1841" spans="1:50" s="1" customFormat="1" ht="24.95" customHeight="1" outlineLevel="3" x14ac:dyDescent="0.2">
      <c r="A1841" s="11"/>
      <c r="B1841" s="12">
        <v>390</v>
      </c>
      <c r="C1841" s="12">
        <v>640</v>
      </c>
      <c r="D1841" s="12">
        <v>25416</v>
      </c>
      <c r="E1841" s="13" t="s">
        <v>6026</v>
      </c>
      <c r="F1841" s="13" t="s">
        <v>6027</v>
      </c>
      <c r="G1841" s="13" t="s">
        <v>163</v>
      </c>
      <c r="H1841" s="13"/>
      <c r="I1841" s="12">
        <v>2022</v>
      </c>
      <c r="J1841" s="13" t="s">
        <v>6028</v>
      </c>
      <c r="K1841" s="12">
        <v>9785961475074</v>
      </c>
      <c r="L1841" s="13" t="s">
        <v>6029</v>
      </c>
      <c r="M1841" s="12">
        <v>32</v>
      </c>
      <c r="N1841" s="14">
        <v>0.28999999999999998</v>
      </c>
      <c r="O1841" s="12">
        <v>196</v>
      </c>
      <c r="P1841" s="12">
        <v>268</v>
      </c>
      <c r="Q1841" s="12">
        <v>15</v>
      </c>
      <c r="R1841" s="13" t="s">
        <v>167</v>
      </c>
      <c r="S1841" s="13" t="s">
        <v>6017</v>
      </c>
      <c r="T1841" s="15">
        <v>2000</v>
      </c>
      <c r="U1841" s="13" t="s">
        <v>52</v>
      </c>
      <c r="V1841" s="13" t="s">
        <v>5626</v>
      </c>
      <c r="W1841" s="12">
        <v>10</v>
      </c>
      <c r="X1841" s="33" t="str">
        <f>HYPERLINK("https://www.alpinabook.ru/catalog/book-ya-vykhukhol-s-raskraskami","ссылка на книгу")</f>
        <v>ссылка на книгу</v>
      </c>
      <c r="Y1841" s="34" t="str">
        <f>HYPERLINK("https://api-enni.alpina.ru/FileCertificateProject/265","https://api-enni.alpina.ru/FileCertificateProject/265")</f>
        <v>https://api-enni.alpina.ru/FileCertificateProject/265</v>
      </c>
      <c r="Z1841" s="13"/>
      <c r="AT1841" s="1">
        <f t="shared" si="350"/>
        <v>0</v>
      </c>
      <c r="AU1841" s="1">
        <f t="shared" si="351"/>
        <v>0</v>
      </c>
      <c r="AV1841" s="1">
        <f t="shared" si="352"/>
        <v>0</v>
      </c>
      <c r="AW1841" s="1">
        <f t="shared" si="353"/>
        <v>0</v>
      </c>
      <c r="AX1841" s="1">
        <f t="shared" si="354"/>
        <v>0</v>
      </c>
    </row>
    <row r="1842" spans="1:50" s="1" customFormat="1" ht="21.95" customHeight="1" outlineLevel="3" x14ac:dyDescent="0.2">
      <c r="A1842" s="11"/>
      <c r="B1842" s="12">
        <v>350</v>
      </c>
      <c r="C1842" s="12">
        <v>540</v>
      </c>
      <c r="D1842" s="12">
        <v>26267</v>
      </c>
      <c r="E1842" s="13" t="s">
        <v>6030</v>
      </c>
      <c r="F1842" s="13" t="s">
        <v>6031</v>
      </c>
      <c r="G1842" s="13" t="s">
        <v>163</v>
      </c>
      <c r="H1842" s="13"/>
      <c r="I1842" s="12">
        <v>2022</v>
      </c>
      <c r="J1842" s="13" t="s">
        <v>6032</v>
      </c>
      <c r="K1842" s="12">
        <v>9785961481020</v>
      </c>
      <c r="L1842" s="13" t="s">
        <v>6033</v>
      </c>
      <c r="M1842" s="12">
        <v>36</v>
      </c>
      <c r="N1842" s="14">
        <v>0.27</v>
      </c>
      <c r="O1842" s="12">
        <v>196</v>
      </c>
      <c r="P1842" s="12">
        <v>268</v>
      </c>
      <c r="Q1842" s="12">
        <v>16</v>
      </c>
      <c r="R1842" s="13" t="s">
        <v>167</v>
      </c>
      <c r="S1842" s="13"/>
      <c r="T1842" s="15">
        <v>2000</v>
      </c>
      <c r="U1842" s="13" t="s">
        <v>52</v>
      </c>
      <c r="V1842" s="13" t="s">
        <v>5626</v>
      </c>
      <c r="W1842" s="12">
        <v>10</v>
      </c>
      <c r="X1842" s="33" t="str">
        <f>HYPERLINK("https://www.alpinabook.ru/catalog/book-ya-delfin-s-raskraskami","ссылка на книгу")</f>
        <v>ссылка на книгу</v>
      </c>
      <c r="Y1842" s="34" t="str">
        <f>HYPERLINK("","")</f>
        <v/>
      </c>
      <c r="Z1842" s="13"/>
      <c r="AT1842" s="1">
        <f t="shared" si="350"/>
        <v>0</v>
      </c>
      <c r="AU1842" s="1">
        <f t="shared" si="351"/>
        <v>0</v>
      </c>
      <c r="AV1842" s="1">
        <f t="shared" si="352"/>
        <v>0</v>
      </c>
      <c r="AW1842" s="1">
        <f t="shared" si="353"/>
        <v>0</v>
      </c>
      <c r="AX1842" s="1">
        <f t="shared" si="354"/>
        <v>0</v>
      </c>
    </row>
    <row r="1843" spans="1:50" s="1" customFormat="1" ht="24.95" customHeight="1" outlineLevel="3" x14ac:dyDescent="0.2">
      <c r="A1843" s="26"/>
      <c r="B1843" s="27">
        <v>390</v>
      </c>
      <c r="C1843" s="27">
        <v>640</v>
      </c>
      <c r="D1843" s="27">
        <v>24674</v>
      </c>
      <c r="E1843" s="29" t="s">
        <v>6034</v>
      </c>
      <c r="F1843" s="29" t="s">
        <v>6035</v>
      </c>
      <c r="G1843" s="29" t="s">
        <v>163</v>
      </c>
      <c r="H1843" s="29"/>
      <c r="I1843" s="27">
        <v>2022</v>
      </c>
      <c r="J1843" s="29" t="s">
        <v>6036</v>
      </c>
      <c r="K1843" s="27">
        <v>9785961475654</v>
      </c>
      <c r="L1843" s="29" t="s">
        <v>6037</v>
      </c>
      <c r="M1843" s="27">
        <v>32</v>
      </c>
      <c r="N1843" s="30">
        <v>0.28000000000000003</v>
      </c>
      <c r="O1843" s="27">
        <v>196</v>
      </c>
      <c r="P1843" s="27">
        <v>269</v>
      </c>
      <c r="Q1843" s="27">
        <v>15</v>
      </c>
      <c r="R1843" s="29" t="s">
        <v>167</v>
      </c>
      <c r="S1843" s="29" t="s">
        <v>2690</v>
      </c>
      <c r="T1843" s="28">
        <v>3000</v>
      </c>
      <c r="U1843" s="29" t="s">
        <v>52</v>
      </c>
      <c r="V1843" s="29" t="s">
        <v>5626</v>
      </c>
      <c r="W1843" s="27">
        <v>10</v>
      </c>
      <c r="X1843" s="37" t="str">
        <f>HYPERLINK("https://www.alpinabook.ru/catalog/book-ya-ezh","ссылка на книгу")</f>
        <v>ссылка на книгу</v>
      </c>
      <c r="Y1843" s="38" t="str">
        <f>HYPERLINK("https://api-enni.alpina.ru/FileCertificateProject/249","https://api-enni.alpina.ru/FileCertificateProject/249")</f>
        <v>https://api-enni.alpina.ru/FileCertificateProject/249</v>
      </c>
      <c r="Z1843" s="29"/>
      <c r="AT1843" s="1">
        <f t="shared" si="350"/>
        <v>0</v>
      </c>
      <c r="AU1843" s="1">
        <f t="shared" si="351"/>
        <v>0</v>
      </c>
      <c r="AV1843" s="1">
        <f t="shared" si="352"/>
        <v>0</v>
      </c>
      <c r="AW1843" s="1">
        <f t="shared" si="353"/>
        <v>0</v>
      </c>
      <c r="AX1843" s="1">
        <f t="shared" si="354"/>
        <v>0</v>
      </c>
    </row>
    <row r="1844" spans="1:50" s="1" customFormat="1" ht="21.95" customHeight="1" outlineLevel="3" x14ac:dyDescent="0.2">
      <c r="A1844" s="11"/>
      <c r="B1844" s="12">
        <v>340</v>
      </c>
      <c r="C1844" s="12">
        <v>540</v>
      </c>
      <c r="D1844" s="12">
        <v>5531</v>
      </c>
      <c r="E1844" s="13" t="s">
        <v>6038</v>
      </c>
      <c r="F1844" s="13" t="s">
        <v>6039</v>
      </c>
      <c r="G1844" s="13" t="s">
        <v>163</v>
      </c>
      <c r="H1844" s="13"/>
      <c r="I1844" s="12">
        <v>2022</v>
      </c>
      <c r="J1844" s="13" t="s">
        <v>6040</v>
      </c>
      <c r="K1844" s="12">
        <v>9785961471199</v>
      </c>
      <c r="L1844" s="13" t="s">
        <v>6041</v>
      </c>
      <c r="M1844" s="12">
        <v>32</v>
      </c>
      <c r="N1844" s="14">
        <v>0.38</v>
      </c>
      <c r="O1844" s="12">
        <v>216</v>
      </c>
      <c r="P1844" s="12">
        <v>298</v>
      </c>
      <c r="Q1844" s="12">
        <v>16</v>
      </c>
      <c r="R1844" s="13" t="s">
        <v>167</v>
      </c>
      <c r="S1844" s="13" t="s">
        <v>6017</v>
      </c>
      <c r="T1844" s="15">
        <v>1500</v>
      </c>
      <c r="U1844" s="13" t="s">
        <v>52</v>
      </c>
      <c r="V1844" s="13" t="s">
        <v>5626</v>
      </c>
      <c r="W1844" s="12">
        <v>10</v>
      </c>
      <c r="X1844" s="33" t="str">
        <f>HYPERLINK("https://www.alpinabook.ru/catalog/book-ya-enot","ссылка на книгу")</f>
        <v>ссылка на книгу</v>
      </c>
      <c r="Y1844" s="34" t="str">
        <f>HYPERLINK("","")</f>
        <v/>
      </c>
      <c r="Z1844" s="13"/>
      <c r="AT1844" s="1">
        <f t="shared" si="350"/>
        <v>0</v>
      </c>
      <c r="AU1844" s="1">
        <f t="shared" si="351"/>
        <v>0</v>
      </c>
      <c r="AV1844" s="1">
        <f t="shared" si="352"/>
        <v>0</v>
      </c>
      <c r="AW1844" s="1">
        <f t="shared" si="353"/>
        <v>0</v>
      </c>
      <c r="AX1844" s="1">
        <f t="shared" si="354"/>
        <v>0</v>
      </c>
    </row>
    <row r="1845" spans="1:50" s="1" customFormat="1" ht="24.95" customHeight="1" outlineLevel="3" x14ac:dyDescent="0.2">
      <c r="A1845" s="26"/>
      <c r="B1845" s="27">
        <v>175</v>
      </c>
      <c r="C1845" s="27">
        <v>290</v>
      </c>
      <c r="D1845" s="27">
        <v>25942</v>
      </c>
      <c r="E1845" s="29" t="s">
        <v>6042</v>
      </c>
      <c r="F1845" s="29" t="s">
        <v>6043</v>
      </c>
      <c r="G1845" s="29" t="s">
        <v>163</v>
      </c>
      <c r="H1845" s="29"/>
      <c r="I1845" s="27">
        <v>2022</v>
      </c>
      <c r="J1845" s="29" t="s">
        <v>6044</v>
      </c>
      <c r="K1845" s="27">
        <v>9785961479034</v>
      </c>
      <c r="L1845" s="29" t="s">
        <v>6045</v>
      </c>
      <c r="M1845" s="27">
        <v>32</v>
      </c>
      <c r="N1845" s="30">
        <v>0.12</v>
      </c>
      <c r="O1845" s="27">
        <v>189</v>
      </c>
      <c r="P1845" s="27">
        <v>262</v>
      </c>
      <c r="Q1845" s="27">
        <v>40</v>
      </c>
      <c r="R1845" s="29" t="s">
        <v>167</v>
      </c>
      <c r="S1845" s="29" t="s">
        <v>6017</v>
      </c>
      <c r="T1845" s="28">
        <v>2000</v>
      </c>
      <c r="U1845" s="29" t="s">
        <v>44</v>
      </c>
      <c r="V1845" s="29" t="s">
        <v>5626</v>
      </c>
      <c r="W1845" s="27">
        <v>10</v>
      </c>
      <c r="X1845" s="37" t="str">
        <f>HYPERLINK("https://www.alpinabook.ru/catalog/book-ya-kozel","ссылка на книгу")</f>
        <v>ссылка на книгу</v>
      </c>
      <c r="Y1845" s="38" t="str">
        <f>HYPERLINK("https://api-enni.alpina.ru/FileCertificateProject/5","https://api-enni.alpina.ru/FileCertificateProject/5")</f>
        <v>https://api-enni.alpina.ru/FileCertificateProject/5</v>
      </c>
      <c r="Z1845" s="29"/>
      <c r="AT1845" s="1">
        <f t="shared" si="350"/>
        <v>0</v>
      </c>
      <c r="AU1845" s="1">
        <f t="shared" si="351"/>
        <v>0</v>
      </c>
      <c r="AV1845" s="1">
        <f t="shared" si="352"/>
        <v>0</v>
      </c>
      <c r="AW1845" s="1">
        <f t="shared" si="353"/>
        <v>0</v>
      </c>
      <c r="AX1845" s="1">
        <f t="shared" si="354"/>
        <v>0</v>
      </c>
    </row>
    <row r="1846" spans="1:50" s="1" customFormat="1" ht="24.95" customHeight="1" outlineLevel="3" x14ac:dyDescent="0.2">
      <c r="A1846" s="11"/>
      <c r="B1846" s="12">
        <v>390</v>
      </c>
      <c r="C1846" s="12">
        <v>390</v>
      </c>
      <c r="D1846" s="12">
        <v>25702</v>
      </c>
      <c r="E1846" s="13" t="s">
        <v>6046</v>
      </c>
      <c r="F1846" s="13" t="s">
        <v>6047</v>
      </c>
      <c r="G1846" s="13" t="s">
        <v>163</v>
      </c>
      <c r="H1846" s="13"/>
      <c r="I1846" s="12">
        <v>2022</v>
      </c>
      <c r="J1846" s="13" t="s">
        <v>6048</v>
      </c>
      <c r="K1846" s="12">
        <v>9785961478426</v>
      </c>
      <c r="L1846" s="13" t="s">
        <v>6049</v>
      </c>
      <c r="M1846" s="12">
        <v>36</v>
      </c>
      <c r="N1846" s="14">
        <v>0.28000000000000003</v>
      </c>
      <c r="O1846" s="12">
        <v>196</v>
      </c>
      <c r="P1846" s="12">
        <v>269</v>
      </c>
      <c r="Q1846" s="12">
        <v>16</v>
      </c>
      <c r="R1846" s="13" t="s">
        <v>167</v>
      </c>
      <c r="S1846" s="13" t="s">
        <v>6017</v>
      </c>
      <c r="T1846" s="15">
        <v>2000</v>
      </c>
      <c r="U1846" s="13" t="s">
        <v>52</v>
      </c>
      <c r="V1846" s="13" t="s">
        <v>5626</v>
      </c>
      <c r="W1846" s="12">
        <v>10</v>
      </c>
      <c r="X1846" s="33" t="str">
        <f>HYPERLINK("https://www.alpinabook.ru/catalog/book-ya-kot-s-raskraskami","ссылка на книгу")</f>
        <v>ссылка на книгу</v>
      </c>
      <c r="Y1846" s="34" t="str">
        <f>HYPERLINK("https://api-enni.alpina.ru/FileCertificateProject/279","https://api-enni.alpina.ru/FileCertificateProject/279")</f>
        <v>https://api-enni.alpina.ru/FileCertificateProject/279</v>
      </c>
      <c r="Z1846" s="13"/>
      <c r="AT1846" s="1">
        <f t="shared" si="350"/>
        <v>0</v>
      </c>
      <c r="AU1846" s="1">
        <f t="shared" si="351"/>
        <v>0</v>
      </c>
      <c r="AV1846" s="1">
        <f t="shared" si="352"/>
        <v>0</v>
      </c>
      <c r="AW1846" s="1">
        <f t="shared" si="353"/>
        <v>0</v>
      </c>
      <c r="AX1846" s="1">
        <f t="shared" si="354"/>
        <v>0</v>
      </c>
    </row>
    <row r="1847" spans="1:50" s="1" customFormat="1" ht="24.95" customHeight="1" outlineLevel="3" x14ac:dyDescent="0.2">
      <c r="A1847" s="11"/>
      <c r="B1847" s="12">
        <v>390</v>
      </c>
      <c r="C1847" s="12">
        <v>640</v>
      </c>
      <c r="D1847" s="12">
        <v>26670</v>
      </c>
      <c r="E1847" s="13" t="s">
        <v>6046</v>
      </c>
      <c r="F1847" s="13" t="s">
        <v>6050</v>
      </c>
      <c r="G1847" s="13" t="s">
        <v>163</v>
      </c>
      <c r="H1847" s="13"/>
      <c r="I1847" s="12">
        <v>2022</v>
      </c>
      <c r="J1847" s="13" t="s">
        <v>6051</v>
      </c>
      <c r="K1847" s="12">
        <v>9785961482591</v>
      </c>
      <c r="L1847" s="13" t="s">
        <v>6052</v>
      </c>
      <c r="M1847" s="12">
        <v>36</v>
      </c>
      <c r="N1847" s="14">
        <v>0.3</v>
      </c>
      <c r="O1847" s="12">
        <v>196</v>
      </c>
      <c r="P1847" s="12">
        <v>258</v>
      </c>
      <c r="Q1847" s="12">
        <v>15</v>
      </c>
      <c r="R1847" s="13" t="s">
        <v>167</v>
      </c>
      <c r="S1847" s="13" t="s">
        <v>6017</v>
      </c>
      <c r="T1847" s="15">
        <v>5000</v>
      </c>
      <c r="U1847" s="13" t="s">
        <v>52</v>
      </c>
      <c r="V1847" s="13" t="s">
        <v>5626</v>
      </c>
      <c r="W1847" s="12">
        <v>10</v>
      </c>
      <c r="X1847" s="33" t="str">
        <f>HYPERLINK("https://www.alpinabook.ru/catalog/book-ya-kot-s-raskraskami","ссылка на книгу")</f>
        <v>ссылка на книгу</v>
      </c>
      <c r="Y1847" s="34" t="str">
        <f>HYPERLINK("https://api-enni.alpina.ru/FileCertificateProject/279","https://api-enni.alpina.ru/FileCertificateProject/279")</f>
        <v>https://api-enni.alpina.ru/FileCertificateProject/279</v>
      </c>
      <c r="Z1847" s="13"/>
      <c r="AT1847" s="1">
        <f t="shared" si="350"/>
        <v>0</v>
      </c>
      <c r="AU1847" s="1">
        <f t="shared" si="351"/>
        <v>0</v>
      </c>
      <c r="AV1847" s="1">
        <f t="shared" si="352"/>
        <v>0</v>
      </c>
      <c r="AW1847" s="1">
        <f t="shared" si="353"/>
        <v>0</v>
      </c>
      <c r="AX1847" s="1">
        <f t="shared" si="354"/>
        <v>0</v>
      </c>
    </row>
    <row r="1848" spans="1:50" s="1" customFormat="1" ht="21.95" customHeight="1" outlineLevel="3" x14ac:dyDescent="0.2">
      <c r="A1848" s="26"/>
      <c r="B1848" s="27">
        <v>340</v>
      </c>
      <c r="C1848" s="27">
        <v>340</v>
      </c>
      <c r="D1848" s="27">
        <v>17282</v>
      </c>
      <c r="E1848" s="29" t="s">
        <v>6053</v>
      </c>
      <c r="F1848" s="29" t="s">
        <v>6054</v>
      </c>
      <c r="G1848" s="29" t="s">
        <v>163</v>
      </c>
      <c r="H1848" s="29"/>
      <c r="I1848" s="27">
        <v>2020</v>
      </c>
      <c r="J1848" s="29" t="s">
        <v>6055</v>
      </c>
      <c r="K1848" s="27">
        <v>9785961429992</v>
      </c>
      <c r="L1848" s="29" t="s">
        <v>6056</v>
      </c>
      <c r="M1848" s="27">
        <v>32</v>
      </c>
      <c r="N1848" s="30">
        <v>0.38</v>
      </c>
      <c r="O1848" s="27">
        <v>219</v>
      </c>
      <c r="P1848" s="27">
        <v>298</v>
      </c>
      <c r="Q1848" s="27">
        <v>12</v>
      </c>
      <c r="R1848" s="29" t="s">
        <v>167</v>
      </c>
      <c r="S1848" s="29" t="s">
        <v>6017</v>
      </c>
      <c r="T1848" s="28">
        <v>3000</v>
      </c>
      <c r="U1848" s="29" t="s">
        <v>52</v>
      </c>
      <c r="V1848" s="29" t="s">
        <v>5626</v>
      </c>
      <c r="W1848" s="27">
        <v>10</v>
      </c>
      <c r="X1848" s="37" t="str">
        <f>HYPERLINK("https://www.alpinabook.ru/catalog/book-592894","ссылка на книгу")</f>
        <v>ссылка на книгу</v>
      </c>
      <c r="Y1848" s="38" t="str">
        <f>HYPERLINK("","")</f>
        <v/>
      </c>
      <c r="Z1848" s="29"/>
      <c r="AT1848" s="1">
        <f t="shared" si="350"/>
        <v>0</v>
      </c>
      <c r="AU1848" s="1">
        <f t="shared" si="351"/>
        <v>0</v>
      </c>
      <c r="AV1848" s="1">
        <f t="shared" si="352"/>
        <v>0</v>
      </c>
      <c r="AW1848" s="1">
        <f t="shared" si="353"/>
        <v>0</v>
      </c>
      <c r="AX1848" s="1">
        <f t="shared" si="354"/>
        <v>0</v>
      </c>
    </row>
    <row r="1849" spans="1:50" s="1" customFormat="1" ht="24.95" customHeight="1" outlineLevel="3" x14ac:dyDescent="0.2">
      <c r="A1849" s="11"/>
      <c r="B1849" s="12">
        <v>390</v>
      </c>
      <c r="C1849" s="12">
        <v>390</v>
      </c>
      <c r="D1849" s="12">
        <v>25460</v>
      </c>
      <c r="E1849" s="13" t="s">
        <v>6053</v>
      </c>
      <c r="F1849" s="13" t="s">
        <v>6057</v>
      </c>
      <c r="G1849" s="13" t="s">
        <v>163</v>
      </c>
      <c r="H1849" s="13"/>
      <c r="I1849" s="12">
        <v>2022</v>
      </c>
      <c r="J1849" s="13" t="s">
        <v>6058</v>
      </c>
      <c r="K1849" s="12">
        <v>9785961477801</v>
      </c>
      <c r="L1849" s="13" t="s">
        <v>6059</v>
      </c>
      <c r="M1849" s="12">
        <v>36</v>
      </c>
      <c r="N1849" s="14">
        <v>0.28000000000000003</v>
      </c>
      <c r="O1849" s="12">
        <v>196</v>
      </c>
      <c r="P1849" s="12">
        <v>269</v>
      </c>
      <c r="Q1849" s="12">
        <v>16</v>
      </c>
      <c r="R1849" s="13" t="s">
        <v>167</v>
      </c>
      <c r="S1849" s="13" t="s">
        <v>6017</v>
      </c>
      <c r="T1849" s="15">
        <v>2000</v>
      </c>
      <c r="U1849" s="13" t="s">
        <v>52</v>
      </c>
      <c r="V1849" s="13" t="s">
        <v>5626</v>
      </c>
      <c r="W1849" s="12">
        <v>10</v>
      </c>
      <c r="X1849" s="33" t="str">
        <f>HYPERLINK("https://www.alpinabook.ru/catalog/book-ya-krokodil-s-raskraskami","ссылка на книгу")</f>
        <v>ссылка на книгу</v>
      </c>
      <c r="Y1849" s="34" t="str">
        <f>HYPERLINK("https://api-enni.alpina.ru/FileCertificateProject/270","https://api-enni.alpina.ru/FileCertificateProject/270")</f>
        <v>https://api-enni.alpina.ru/FileCertificateProject/270</v>
      </c>
      <c r="Z1849" s="13"/>
      <c r="AT1849" s="1">
        <f t="shared" si="350"/>
        <v>0</v>
      </c>
      <c r="AU1849" s="1">
        <f t="shared" si="351"/>
        <v>0</v>
      </c>
      <c r="AV1849" s="1">
        <f t="shared" si="352"/>
        <v>0</v>
      </c>
      <c r="AW1849" s="1">
        <f t="shared" si="353"/>
        <v>0</v>
      </c>
      <c r="AX1849" s="1">
        <f t="shared" si="354"/>
        <v>0</v>
      </c>
    </row>
    <row r="1850" spans="1:50" s="1" customFormat="1" ht="24.95" customHeight="1" outlineLevel="3" x14ac:dyDescent="0.2">
      <c r="A1850" s="11"/>
      <c r="B1850" s="12">
        <v>390</v>
      </c>
      <c r="C1850" s="12">
        <v>390</v>
      </c>
      <c r="D1850" s="12">
        <v>25459</v>
      </c>
      <c r="E1850" s="13" t="s">
        <v>6060</v>
      </c>
      <c r="F1850" s="13" t="s">
        <v>6061</v>
      </c>
      <c r="G1850" s="13" t="s">
        <v>163</v>
      </c>
      <c r="H1850" s="13"/>
      <c r="I1850" s="12">
        <v>2022</v>
      </c>
      <c r="J1850" s="13" t="s">
        <v>6062</v>
      </c>
      <c r="K1850" s="12">
        <v>9785961477818</v>
      </c>
      <c r="L1850" s="13" t="s">
        <v>6063</v>
      </c>
      <c r="M1850" s="12">
        <v>36</v>
      </c>
      <c r="N1850" s="14">
        <v>0.28000000000000003</v>
      </c>
      <c r="O1850" s="12">
        <v>196</v>
      </c>
      <c r="P1850" s="12">
        <v>269</v>
      </c>
      <c r="Q1850" s="12">
        <v>16</v>
      </c>
      <c r="R1850" s="13" t="s">
        <v>167</v>
      </c>
      <c r="S1850" s="13" t="s">
        <v>6017</v>
      </c>
      <c r="T1850" s="15">
        <v>2000</v>
      </c>
      <c r="U1850" s="13" t="s">
        <v>52</v>
      </c>
      <c r="V1850" s="13" t="s">
        <v>5626</v>
      </c>
      <c r="W1850" s="12">
        <v>10</v>
      </c>
      <c r="X1850" s="33" t="str">
        <f>HYPERLINK("https://www.alpinabook.ru/catalog/book-ya-lenivets-s-raskraskami","ссылка на книгу")</f>
        <v>ссылка на книгу</v>
      </c>
      <c r="Y1850" s="34" t="str">
        <f>HYPERLINK("https://api-enni.alpina.ru/FileCertificateProject/269","https://api-enni.alpina.ru/FileCertificateProject/269")</f>
        <v>https://api-enni.alpina.ru/FileCertificateProject/269</v>
      </c>
      <c r="Z1850" s="13"/>
      <c r="AT1850" s="1">
        <f t="shared" si="350"/>
        <v>0</v>
      </c>
      <c r="AU1850" s="1">
        <f t="shared" si="351"/>
        <v>0</v>
      </c>
      <c r="AV1850" s="1">
        <f t="shared" si="352"/>
        <v>0</v>
      </c>
      <c r="AW1850" s="1">
        <f t="shared" si="353"/>
        <v>0</v>
      </c>
      <c r="AX1850" s="1">
        <f t="shared" si="354"/>
        <v>0</v>
      </c>
    </row>
    <row r="1851" spans="1:50" s="1" customFormat="1" ht="24.95" customHeight="1" outlineLevel="3" x14ac:dyDescent="0.2">
      <c r="A1851" s="11"/>
      <c r="B1851" s="12">
        <v>350</v>
      </c>
      <c r="C1851" s="12">
        <v>350</v>
      </c>
      <c r="D1851" s="12">
        <v>26280</v>
      </c>
      <c r="E1851" s="13" t="s">
        <v>6064</v>
      </c>
      <c r="F1851" s="13" t="s">
        <v>6065</v>
      </c>
      <c r="G1851" s="13" t="s">
        <v>163</v>
      </c>
      <c r="H1851" s="13"/>
      <c r="I1851" s="12">
        <v>2022</v>
      </c>
      <c r="J1851" s="13" t="s">
        <v>6066</v>
      </c>
      <c r="K1851" s="12">
        <v>9785961481044</v>
      </c>
      <c r="L1851" s="13" t="s">
        <v>6067</v>
      </c>
      <c r="M1851" s="12">
        <v>36</v>
      </c>
      <c r="N1851" s="14">
        <v>0.27</v>
      </c>
      <c r="O1851" s="12">
        <v>196</v>
      </c>
      <c r="P1851" s="12">
        <v>268</v>
      </c>
      <c r="Q1851" s="12">
        <v>16</v>
      </c>
      <c r="R1851" s="13" t="s">
        <v>167</v>
      </c>
      <c r="S1851" s="13" t="s">
        <v>6017</v>
      </c>
      <c r="T1851" s="15">
        <v>2000</v>
      </c>
      <c r="U1851" s="13" t="s">
        <v>52</v>
      </c>
      <c r="V1851" s="13" t="s">
        <v>5626</v>
      </c>
      <c r="W1851" s="12">
        <v>10</v>
      </c>
      <c r="X1851" s="33" t="str">
        <f>HYPERLINK("https://www.alpinabook.ru/catalog/book-ya-letuchaya-mysh-s-raskraskami","ссылка на книгу")</f>
        <v>ссылка на книгу</v>
      </c>
      <c r="Y1851" s="34" t="str">
        <f>HYPERLINK("https://api-enni.alpina.ru/FileCertificateProject/298","https://api-enni.alpina.ru/FileCertificateProject/298")</f>
        <v>https://api-enni.alpina.ru/FileCertificateProject/298</v>
      </c>
      <c r="Z1851" s="13"/>
      <c r="AT1851" s="1">
        <f t="shared" si="350"/>
        <v>0</v>
      </c>
      <c r="AU1851" s="1">
        <f t="shared" si="351"/>
        <v>0</v>
      </c>
      <c r="AV1851" s="1">
        <f t="shared" si="352"/>
        <v>0</v>
      </c>
      <c r="AW1851" s="1">
        <f t="shared" si="353"/>
        <v>0</v>
      </c>
      <c r="AX1851" s="1">
        <f t="shared" si="354"/>
        <v>0</v>
      </c>
    </row>
    <row r="1852" spans="1:50" s="1" customFormat="1" ht="21.95" customHeight="1" outlineLevel="3" x14ac:dyDescent="0.2">
      <c r="A1852" s="11"/>
      <c r="B1852" s="12">
        <v>390</v>
      </c>
      <c r="C1852" s="12">
        <v>640</v>
      </c>
      <c r="D1852" s="12">
        <v>6924</v>
      </c>
      <c r="E1852" s="13" t="s">
        <v>6068</v>
      </c>
      <c r="F1852" s="13" t="s">
        <v>6069</v>
      </c>
      <c r="G1852" s="13" t="s">
        <v>163</v>
      </c>
      <c r="H1852" s="13"/>
      <c r="I1852" s="12">
        <v>2020</v>
      </c>
      <c r="J1852" s="13" t="s">
        <v>6070</v>
      </c>
      <c r="K1852" s="12">
        <v>9785961460643</v>
      </c>
      <c r="L1852" s="13" t="s">
        <v>6071</v>
      </c>
      <c r="M1852" s="12">
        <v>32</v>
      </c>
      <c r="N1852" s="14">
        <v>0.37</v>
      </c>
      <c r="O1852" s="12">
        <v>219</v>
      </c>
      <c r="P1852" s="12">
        <v>298</v>
      </c>
      <c r="Q1852" s="12">
        <v>16</v>
      </c>
      <c r="R1852" s="13" t="s">
        <v>167</v>
      </c>
      <c r="S1852" s="13" t="s">
        <v>6017</v>
      </c>
      <c r="T1852" s="15">
        <v>3000</v>
      </c>
      <c r="U1852" s="13" t="s">
        <v>52</v>
      </c>
      <c r="V1852" s="13" t="s">
        <v>5626</v>
      </c>
      <c r="W1852" s="12">
        <v>10</v>
      </c>
      <c r="X1852" s="33" t="str">
        <f>HYPERLINK("https://www.alpinabook.ru/catalog/book-97243","ссылка на книгу")</f>
        <v>ссылка на книгу</v>
      </c>
      <c r="Y1852" s="34" t="str">
        <f>HYPERLINK("","")</f>
        <v/>
      </c>
      <c r="Z1852" s="13"/>
      <c r="AT1852" s="1">
        <f t="shared" si="350"/>
        <v>0</v>
      </c>
      <c r="AU1852" s="1">
        <f t="shared" si="351"/>
        <v>0</v>
      </c>
      <c r="AV1852" s="1">
        <f t="shared" si="352"/>
        <v>0</v>
      </c>
      <c r="AW1852" s="1">
        <f t="shared" si="353"/>
        <v>0</v>
      </c>
      <c r="AX1852" s="1">
        <f t="shared" si="354"/>
        <v>0</v>
      </c>
    </row>
    <row r="1853" spans="1:50" s="1" customFormat="1" ht="24.95" customHeight="1" outlineLevel="3" x14ac:dyDescent="0.2">
      <c r="A1853" s="11"/>
      <c r="B1853" s="12">
        <v>390</v>
      </c>
      <c r="C1853" s="12">
        <v>390</v>
      </c>
      <c r="D1853" s="12">
        <v>24650</v>
      </c>
      <c r="E1853" s="13" t="s">
        <v>6072</v>
      </c>
      <c r="F1853" s="13" t="s">
        <v>6073</v>
      </c>
      <c r="G1853" s="13" t="s">
        <v>163</v>
      </c>
      <c r="H1853" s="13"/>
      <c r="I1853" s="12">
        <v>2022</v>
      </c>
      <c r="J1853" s="13" t="s">
        <v>6074</v>
      </c>
      <c r="K1853" s="12">
        <v>9785961475586</v>
      </c>
      <c r="L1853" s="13" t="s">
        <v>6075</v>
      </c>
      <c r="M1853" s="12">
        <v>32</v>
      </c>
      <c r="N1853" s="14">
        <v>0.28000000000000003</v>
      </c>
      <c r="O1853" s="12">
        <v>196</v>
      </c>
      <c r="P1853" s="12">
        <v>269</v>
      </c>
      <c r="Q1853" s="12">
        <v>15</v>
      </c>
      <c r="R1853" s="13" t="s">
        <v>167</v>
      </c>
      <c r="S1853" s="13" t="s">
        <v>2690</v>
      </c>
      <c r="T1853" s="15">
        <v>3000</v>
      </c>
      <c r="U1853" s="13" t="s">
        <v>52</v>
      </c>
      <c r="V1853" s="13" t="s">
        <v>5626</v>
      </c>
      <c r="W1853" s="12">
        <v>10</v>
      </c>
      <c r="X1853" s="33" t="str">
        <f>HYPERLINK("https://www.alpinabook.ru/catalog/book-ya-pingvin","ссылка на книгу")</f>
        <v>ссылка на книгу</v>
      </c>
      <c r="Y1853" s="34" t="str">
        <f>HYPERLINK("https://api-enni.alpina.ru/FileCertificateProject/247","https://api-enni.alpina.ru/FileCertificateProject/247")</f>
        <v>https://api-enni.alpina.ru/FileCertificateProject/247</v>
      </c>
      <c r="Z1853" s="13"/>
      <c r="AT1853" s="1">
        <f t="shared" si="350"/>
        <v>0</v>
      </c>
      <c r="AU1853" s="1">
        <f t="shared" si="351"/>
        <v>0</v>
      </c>
      <c r="AV1853" s="1">
        <f t="shared" si="352"/>
        <v>0</v>
      </c>
      <c r="AW1853" s="1">
        <f t="shared" si="353"/>
        <v>0</v>
      </c>
      <c r="AX1853" s="1">
        <f t="shared" si="354"/>
        <v>0</v>
      </c>
    </row>
    <row r="1854" spans="1:50" s="1" customFormat="1" ht="24.95" customHeight="1" outlineLevel="3" x14ac:dyDescent="0.2">
      <c r="A1854" s="11"/>
      <c r="B1854" s="12">
        <v>390</v>
      </c>
      <c r="C1854" s="12">
        <v>390</v>
      </c>
      <c r="D1854" s="12">
        <v>25458</v>
      </c>
      <c r="E1854" s="13" t="s">
        <v>6076</v>
      </c>
      <c r="F1854" s="13" t="s">
        <v>6077</v>
      </c>
      <c r="G1854" s="13" t="s">
        <v>163</v>
      </c>
      <c r="H1854" s="13"/>
      <c r="I1854" s="12">
        <v>2022</v>
      </c>
      <c r="J1854" s="13" t="s">
        <v>6078</v>
      </c>
      <c r="K1854" s="12">
        <v>9785961477702</v>
      </c>
      <c r="L1854" s="13" t="s">
        <v>6079</v>
      </c>
      <c r="M1854" s="12">
        <v>36</v>
      </c>
      <c r="N1854" s="14">
        <v>0.28000000000000003</v>
      </c>
      <c r="O1854" s="12">
        <v>196</v>
      </c>
      <c r="P1854" s="12">
        <v>269</v>
      </c>
      <c r="Q1854" s="12">
        <v>16</v>
      </c>
      <c r="R1854" s="13" t="s">
        <v>167</v>
      </c>
      <c r="S1854" s="13" t="s">
        <v>6017</v>
      </c>
      <c r="T1854" s="15">
        <v>2000</v>
      </c>
      <c r="U1854" s="13" t="s">
        <v>52</v>
      </c>
      <c r="V1854" s="13" t="s">
        <v>5626</v>
      </c>
      <c r="W1854" s="12">
        <v>10</v>
      </c>
      <c r="X1854" s="33" t="str">
        <f>HYPERLINK("https://www.alpinabook.ru/catalog/book-ya-skuns-s-raskraskami","ссылка на книгу")</f>
        <v>ссылка на книгу</v>
      </c>
      <c r="Y1854" s="34" t="str">
        <f>HYPERLINK("https://api-enni.alpina.ru/FileCertificateProject/268","https://api-enni.alpina.ru/FileCertificateProject/268")</f>
        <v>https://api-enni.alpina.ru/FileCertificateProject/268</v>
      </c>
      <c r="Z1854" s="13"/>
      <c r="AT1854" s="1">
        <f t="shared" si="350"/>
        <v>0</v>
      </c>
      <c r="AU1854" s="1">
        <f t="shared" si="351"/>
        <v>0</v>
      </c>
      <c r="AV1854" s="1">
        <f t="shared" si="352"/>
        <v>0</v>
      </c>
      <c r="AW1854" s="1">
        <f t="shared" si="353"/>
        <v>0</v>
      </c>
      <c r="AX1854" s="1">
        <f t="shared" si="354"/>
        <v>0</v>
      </c>
    </row>
    <row r="1855" spans="1:50" s="1" customFormat="1" ht="24.95" customHeight="1" outlineLevel="3" x14ac:dyDescent="0.2">
      <c r="A1855" s="11"/>
      <c r="B1855" s="12">
        <v>390</v>
      </c>
      <c r="C1855" s="12">
        <v>640</v>
      </c>
      <c r="D1855" s="12">
        <v>24228</v>
      </c>
      <c r="E1855" s="13" t="s">
        <v>6080</v>
      </c>
      <c r="F1855" s="13" t="s">
        <v>6081</v>
      </c>
      <c r="G1855" s="13" t="s">
        <v>163</v>
      </c>
      <c r="H1855" s="13"/>
      <c r="I1855" s="12">
        <v>2022</v>
      </c>
      <c r="J1855" s="13" t="s">
        <v>6082</v>
      </c>
      <c r="K1855" s="12">
        <v>9785961474855</v>
      </c>
      <c r="L1855" s="13" t="s">
        <v>6083</v>
      </c>
      <c r="M1855" s="12">
        <v>36</v>
      </c>
      <c r="N1855" s="14">
        <v>0.28999999999999998</v>
      </c>
      <c r="O1855" s="12">
        <v>196</v>
      </c>
      <c r="P1855" s="12">
        <v>269</v>
      </c>
      <c r="Q1855" s="12">
        <v>20</v>
      </c>
      <c r="R1855" s="13" t="s">
        <v>167</v>
      </c>
      <c r="S1855" s="13" t="s">
        <v>6017</v>
      </c>
      <c r="T1855" s="15">
        <v>20000</v>
      </c>
      <c r="U1855" s="13" t="s">
        <v>52</v>
      </c>
      <c r="V1855" s="13" t="s">
        <v>5626</v>
      </c>
      <c r="W1855" s="12">
        <v>10</v>
      </c>
      <c r="X1855" s="33" t="str">
        <f>HYPERLINK("https://www.alpinabook.ru/catalog/book-ya-tigr","ссылка на книгу")</f>
        <v>ссылка на книгу</v>
      </c>
      <c r="Y1855" s="34" t="str">
        <f>HYPERLINK("https://api-enni.alpina.ru/FileCertificateProject/246","https://api-enni.alpina.ru/FileCertificateProject/246")</f>
        <v>https://api-enni.alpina.ru/FileCertificateProject/246</v>
      </c>
      <c r="Z1855" s="13"/>
      <c r="AT1855" s="1">
        <f t="shared" si="350"/>
        <v>0</v>
      </c>
      <c r="AU1855" s="1">
        <f t="shared" si="351"/>
        <v>0</v>
      </c>
      <c r="AV1855" s="1">
        <f t="shared" si="352"/>
        <v>0</v>
      </c>
      <c r="AW1855" s="1">
        <f t="shared" si="353"/>
        <v>0</v>
      </c>
      <c r="AX1855" s="1">
        <f t="shared" si="354"/>
        <v>0</v>
      </c>
    </row>
    <row r="1856" spans="1:50" ht="11.1" customHeight="1" outlineLevel="2" x14ac:dyDescent="0.2">
      <c r="A1856" s="40" t="s">
        <v>6084</v>
      </c>
      <c r="B1856" s="40"/>
      <c r="C1856" s="40"/>
      <c r="D1856" s="40"/>
      <c r="E1856" s="40"/>
      <c r="F1856" s="40"/>
      <c r="G1856" s="40"/>
      <c r="H1856" s="40"/>
      <c r="I1856" s="40"/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20"/>
    </row>
    <row r="1857" spans="1:50" s="1" customFormat="1" ht="24.95" customHeight="1" outlineLevel="3" x14ac:dyDescent="0.2">
      <c r="A1857" s="11"/>
      <c r="B1857" s="12">
        <v>740</v>
      </c>
      <c r="C1857" s="15">
        <v>1090</v>
      </c>
      <c r="D1857" s="12">
        <v>29399</v>
      </c>
      <c r="E1857" s="13" t="s">
        <v>5505</v>
      </c>
      <c r="F1857" s="13" t="s">
        <v>6085</v>
      </c>
      <c r="G1857" s="13" t="s">
        <v>163</v>
      </c>
      <c r="H1857" s="13" t="s">
        <v>164</v>
      </c>
      <c r="I1857" s="12">
        <v>2025</v>
      </c>
      <c r="J1857" s="13" t="s">
        <v>6086</v>
      </c>
      <c r="K1857" s="12">
        <v>9785961492408</v>
      </c>
      <c r="L1857" s="13" t="s">
        <v>6087</v>
      </c>
      <c r="M1857" s="12">
        <v>112</v>
      </c>
      <c r="N1857" s="14">
        <v>0.39</v>
      </c>
      <c r="O1857" s="12">
        <v>210</v>
      </c>
      <c r="P1857" s="12">
        <v>210</v>
      </c>
      <c r="Q1857" s="12">
        <v>16</v>
      </c>
      <c r="R1857" s="13" t="s">
        <v>167</v>
      </c>
      <c r="S1857" s="13" t="s">
        <v>5509</v>
      </c>
      <c r="T1857" s="15">
        <v>2000</v>
      </c>
      <c r="U1857" s="13" t="s">
        <v>52</v>
      </c>
      <c r="V1857" s="13" t="s">
        <v>64</v>
      </c>
      <c r="W1857" s="12">
        <v>10</v>
      </c>
      <c r="X1857" s="33" t="str">
        <f>HYPERLINK("https://www.alpinabook.ru/catalog/book-bolshaya-kniga-priklyucheniy-konni-detskiy-sad","ссылка на книгу")</f>
        <v>ссылка на книгу</v>
      </c>
      <c r="Y1857" s="34" t="str">
        <f>HYPERLINK("https://api-enni.alpina.ru/FileCertificateProject/554","https://api-enni.alpina.ru/FileCertificateProject/554")</f>
        <v>https://api-enni.alpina.ru/FileCertificateProject/554</v>
      </c>
      <c r="Z1857" s="13" t="s">
        <v>1312</v>
      </c>
      <c r="AT1857" s="1">
        <f t="shared" ref="AT1857:AT1888" si="355">IF($A1857&lt;&gt;0,1,0)</f>
        <v>0</v>
      </c>
      <c r="AU1857" s="1">
        <f t="shared" ref="AU1857:AU1888" si="356">$A1857*$B1857</f>
        <v>0</v>
      </c>
      <c r="AV1857" s="1">
        <f t="shared" ref="AV1857:AV1888" si="357">$A1857*$N1857</f>
        <v>0</v>
      </c>
      <c r="AW1857" s="1">
        <f t="shared" ref="AW1857:AW1888" si="358">IF($Q1857=0,0,INT($A1857/$Q1857))</f>
        <v>0</v>
      </c>
      <c r="AX1857" s="1">
        <f t="shared" ref="AX1857:AX1888" si="359">$A1857-$AW1857*$Q1857</f>
        <v>0</v>
      </c>
    </row>
    <row r="1858" spans="1:50" s="1" customFormat="1" ht="24.95" customHeight="1" outlineLevel="3" x14ac:dyDescent="0.2">
      <c r="A1858" s="11"/>
      <c r="B1858" s="12">
        <v>590</v>
      </c>
      <c r="C1858" s="15">
        <v>1090</v>
      </c>
      <c r="D1858" s="12">
        <v>28455</v>
      </c>
      <c r="E1858" s="13" t="s">
        <v>5505</v>
      </c>
      <c r="F1858" s="13" t="s">
        <v>6088</v>
      </c>
      <c r="G1858" s="13" t="s">
        <v>163</v>
      </c>
      <c r="H1858" s="13" t="s">
        <v>164</v>
      </c>
      <c r="I1858" s="12">
        <v>2025</v>
      </c>
      <c r="J1858" s="13" t="s">
        <v>6089</v>
      </c>
      <c r="K1858" s="12">
        <v>9785961489019</v>
      </c>
      <c r="L1858" s="13" t="s">
        <v>6090</v>
      </c>
      <c r="M1858" s="12">
        <v>112</v>
      </c>
      <c r="N1858" s="14">
        <v>0.38</v>
      </c>
      <c r="O1858" s="12">
        <v>210</v>
      </c>
      <c r="P1858" s="12">
        <v>210</v>
      </c>
      <c r="Q1858" s="12">
        <v>15</v>
      </c>
      <c r="R1858" s="13" t="s">
        <v>167</v>
      </c>
      <c r="S1858" s="13" t="s">
        <v>5509</v>
      </c>
      <c r="T1858" s="15">
        <v>3000</v>
      </c>
      <c r="U1858" s="13" t="s">
        <v>52</v>
      </c>
      <c r="V1858" s="13" t="s">
        <v>64</v>
      </c>
      <c r="W1858" s="12">
        <v>10</v>
      </c>
      <c r="X1858" s="33" t="str">
        <f>HYPERLINK("https://www.alpinabook.ru/catalog/book-bolshaya-kniga-priklyucheniy-konni-samostoyatelnost","ссылка на книгу")</f>
        <v>ссылка на книгу</v>
      </c>
      <c r="Y1858" s="34" t="str">
        <f>HYPERLINK("https://api-enni.alpina.ru/FileCertificateProject/555","https://api-enni.alpina.ru/FileCertificateProject/555")</f>
        <v>https://api-enni.alpina.ru/FileCertificateProject/555</v>
      </c>
      <c r="Z1858" s="13"/>
      <c r="AT1858" s="1">
        <f t="shared" si="355"/>
        <v>0</v>
      </c>
      <c r="AU1858" s="1">
        <f t="shared" si="356"/>
        <v>0</v>
      </c>
      <c r="AV1858" s="1">
        <f t="shared" si="357"/>
        <v>0</v>
      </c>
      <c r="AW1858" s="1">
        <f t="shared" si="358"/>
        <v>0</v>
      </c>
      <c r="AX1858" s="1">
        <f t="shared" si="359"/>
        <v>0</v>
      </c>
    </row>
    <row r="1859" spans="1:50" s="1" customFormat="1" ht="24.95" customHeight="1" outlineLevel="3" x14ac:dyDescent="0.2">
      <c r="A1859" s="11"/>
      <c r="B1859" s="12">
        <v>740</v>
      </c>
      <c r="C1859" s="15">
        <v>1090</v>
      </c>
      <c r="D1859" s="12">
        <v>28274</v>
      </c>
      <c r="E1859" s="13" t="s">
        <v>5505</v>
      </c>
      <c r="F1859" s="13" t="s">
        <v>6091</v>
      </c>
      <c r="G1859" s="13" t="s">
        <v>163</v>
      </c>
      <c r="H1859" s="13" t="s">
        <v>164</v>
      </c>
      <c r="I1859" s="12">
        <v>2025</v>
      </c>
      <c r="J1859" s="13" t="s">
        <v>6092</v>
      </c>
      <c r="K1859" s="12">
        <v>9785961487688</v>
      </c>
      <c r="L1859" s="13" t="s">
        <v>6093</v>
      </c>
      <c r="M1859" s="12">
        <v>104</v>
      </c>
      <c r="N1859" s="14">
        <v>0.36</v>
      </c>
      <c r="O1859" s="12">
        <v>210</v>
      </c>
      <c r="P1859" s="12">
        <v>210</v>
      </c>
      <c r="Q1859" s="12">
        <v>12</v>
      </c>
      <c r="R1859" s="13" t="s">
        <v>167</v>
      </c>
      <c r="S1859" s="13" t="s">
        <v>5509</v>
      </c>
      <c r="T1859" s="15">
        <v>4000</v>
      </c>
      <c r="U1859" s="13" t="s">
        <v>52</v>
      </c>
      <c r="V1859" s="13" t="s">
        <v>64</v>
      </c>
      <c r="W1859" s="12">
        <v>10</v>
      </c>
      <c r="X1859" s="33" t="str">
        <f>HYPERLINK("https://www.alpinabook.ru/catalog/book-bkpk-bezopasnost","ссылка на книгу")</f>
        <v>ссылка на книгу</v>
      </c>
      <c r="Y1859" s="34" t="str">
        <f>HYPERLINK("https://api-enni.alpina.ru/FileCertificateProject/466","https://api-enni.alpina.ru/FileCertificateProject/466")</f>
        <v>https://api-enni.alpina.ru/FileCertificateProject/466</v>
      </c>
      <c r="Z1859" s="13"/>
      <c r="AT1859" s="1">
        <f t="shared" si="355"/>
        <v>0</v>
      </c>
      <c r="AU1859" s="1">
        <f t="shared" si="356"/>
        <v>0</v>
      </c>
      <c r="AV1859" s="1">
        <f t="shared" si="357"/>
        <v>0</v>
      </c>
      <c r="AW1859" s="1">
        <f t="shared" si="358"/>
        <v>0</v>
      </c>
      <c r="AX1859" s="1">
        <f t="shared" si="359"/>
        <v>0</v>
      </c>
    </row>
    <row r="1860" spans="1:50" s="1" customFormat="1" ht="24.95" customHeight="1" outlineLevel="3" x14ac:dyDescent="0.2">
      <c r="A1860" s="11"/>
      <c r="B1860" s="12">
        <v>740</v>
      </c>
      <c r="C1860" s="15">
        <v>1090</v>
      </c>
      <c r="D1860" s="12">
        <v>28457</v>
      </c>
      <c r="E1860" s="13" t="s">
        <v>5505</v>
      </c>
      <c r="F1860" s="13" t="s">
        <v>6094</v>
      </c>
      <c r="G1860" s="13" t="s">
        <v>163</v>
      </c>
      <c r="H1860" s="13" t="s">
        <v>164</v>
      </c>
      <c r="I1860" s="12">
        <v>2025</v>
      </c>
      <c r="J1860" s="13" t="s">
        <v>6095</v>
      </c>
      <c r="K1860" s="12">
        <v>9785961489040</v>
      </c>
      <c r="L1860" s="13" t="s">
        <v>6096</v>
      </c>
      <c r="M1860" s="12">
        <v>104</v>
      </c>
      <c r="N1860" s="14">
        <v>0.37</v>
      </c>
      <c r="O1860" s="12">
        <v>210</v>
      </c>
      <c r="P1860" s="12">
        <v>210</v>
      </c>
      <c r="Q1860" s="12">
        <v>12</v>
      </c>
      <c r="R1860" s="13" t="s">
        <v>167</v>
      </c>
      <c r="S1860" s="13" t="s">
        <v>5509</v>
      </c>
      <c r="T1860" s="15">
        <v>2000</v>
      </c>
      <c r="U1860" s="13" t="s">
        <v>52</v>
      </c>
      <c r="V1860" s="13" t="s">
        <v>64</v>
      </c>
      <c r="W1860" s="12">
        <v>10</v>
      </c>
      <c r="X1860" s="33" t="str">
        <f>HYPERLINK("https://www.alpinabook.ru/catalog/book-bolshaya-kniga-priklyucheniy-konni-zhivotnye","ссылка на книгу")</f>
        <v>ссылка на книгу</v>
      </c>
      <c r="Y1860" s="34" t="str">
        <f>HYPERLINK("https://api-enni.alpina.ru/FileCertificateProject/438","https://api-enni.alpina.ru/FileCertificateProject/438")</f>
        <v>https://api-enni.alpina.ru/FileCertificateProject/438</v>
      </c>
      <c r="Z1860" s="13" t="s">
        <v>46</v>
      </c>
      <c r="AT1860" s="1">
        <f t="shared" si="355"/>
        <v>0</v>
      </c>
      <c r="AU1860" s="1">
        <f t="shared" si="356"/>
        <v>0</v>
      </c>
      <c r="AV1860" s="1">
        <f t="shared" si="357"/>
        <v>0</v>
      </c>
      <c r="AW1860" s="1">
        <f t="shared" si="358"/>
        <v>0</v>
      </c>
      <c r="AX1860" s="1">
        <f t="shared" si="359"/>
        <v>0</v>
      </c>
    </row>
    <row r="1861" spans="1:50" s="1" customFormat="1" ht="24.95" customHeight="1" outlineLevel="3" x14ac:dyDescent="0.2">
      <c r="A1861" s="11"/>
      <c r="B1861" s="12">
        <v>740</v>
      </c>
      <c r="C1861" s="15">
        <v>1090</v>
      </c>
      <c r="D1861" s="12">
        <v>28456</v>
      </c>
      <c r="E1861" s="13" t="s">
        <v>5505</v>
      </c>
      <c r="F1861" s="13" t="s">
        <v>6097</v>
      </c>
      <c r="G1861" s="13" t="s">
        <v>163</v>
      </c>
      <c r="H1861" s="13" t="s">
        <v>164</v>
      </c>
      <c r="I1861" s="12">
        <v>2025</v>
      </c>
      <c r="J1861" s="13" t="s">
        <v>6098</v>
      </c>
      <c r="K1861" s="12">
        <v>9785961489026</v>
      </c>
      <c r="L1861" s="13" t="s">
        <v>6099</v>
      </c>
      <c r="M1861" s="12">
        <v>112</v>
      </c>
      <c r="N1861" s="14">
        <v>0.38</v>
      </c>
      <c r="O1861" s="12">
        <v>210</v>
      </c>
      <c r="P1861" s="12">
        <v>210</v>
      </c>
      <c r="Q1861" s="12">
        <v>12</v>
      </c>
      <c r="R1861" s="13" t="s">
        <v>167</v>
      </c>
      <c r="S1861" s="13" t="s">
        <v>5509</v>
      </c>
      <c r="T1861" s="15">
        <v>3000</v>
      </c>
      <c r="U1861" s="13" t="s">
        <v>52</v>
      </c>
      <c r="V1861" s="13" t="s">
        <v>64</v>
      </c>
      <c r="W1861" s="12">
        <v>10</v>
      </c>
      <c r="X1861" s="33" t="str">
        <f>HYPERLINK("https://www.alpinabook.ru/catalog/book-bolshaya-kniga-priklyucheniy-konni-poleznye-privychki","ссылка на книгу")</f>
        <v>ссылка на книгу</v>
      </c>
      <c r="Y1861" s="34" t="str">
        <f>HYPERLINK("https://api-enni.alpina.ru/FileCertificateProject/553","https://api-enni.alpina.ru/FileCertificateProject/553")</f>
        <v>https://api-enni.alpina.ru/FileCertificateProject/553</v>
      </c>
      <c r="Z1861" s="13"/>
      <c r="AT1861" s="1">
        <f t="shared" si="355"/>
        <v>0</v>
      </c>
      <c r="AU1861" s="1">
        <f t="shared" si="356"/>
        <v>0</v>
      </c>
      <c r="AV1861" s="1">
        <f t="shared" si="357"/>
        <v>0</v>
      </c>
      <c r="AW1861" s="1">
        <f t="shared" si="358"/>
        <v>0</v>
      </c>
      <c r="AX1861" s="1">
        <f t="shared" si="359"/>
        <v>0</v>
      </c>
    </row>
    <row r="1862" spans="1:50" s="1" customFormat="1" ht="24.95" customHeight="1" outlineLevel="3" x14ac:dyDescent="0.2">
      <c r="A1862" s="11"/>
      <c r="B1862" s="12">
        <v>590</v>
      </c>
      <c r="C1862" s="15">
        <v>1090</v>
      </c>
      <c r="D1862" s="12">
        <v>29400</v>
      </c>
      <c r="E1862" s="13" t="s">
        <v>5505</v>
      </c>
      <c r="F1862" s="13" t="s">
        <v>6100</v>
      </c>
      <c r="G1862" s="13" t="s">
        <v>163</v>
      </c>
      <c r="H1862" s="13" t="s">
        <v>164</v>
      </c>
      <c r="I1862" s="12">
        <v>2025</v>
      </c>
      <c r="J1862" s="13" t="s">
        <v>6101</v>
      </c>
      <c r="K1862" s="12">
        <v>9785961492415</v>
      </c>
      <c r="L1862" s="13" t="s">
        <v>6102</v>
      </c>
      <c r="M1862" s="12">
        <v>112</v>
      </c>
      <c r="N1862" s="14">
        <v>0.39</v>
      </c>
      <c r="O1862" s="12">
        <v>210</v>
      </c>
      <c r="P1862" s="12">
        <v>210</v>
      </c>
      <c r="Q1862" s="12">
        <v>15</v>
      </c>
      <c r="R1862" s="13" t="s">
        <v>167</v>
      </c>
      <c r="S1862" s="13" t="s">
        <v>5509</v>
      </c>
      <c r="T1862" s="15">
        <v>3000</v>
      </c>
      <c r="U1862" s="13" t="s">
        <v>52</v>
      </c>
      <c r="V1862" s="13" t="s">
        <v>64</v>
      </c>
      <c r="W1862" s="12">
        <v>10</v>
      </c>
      <c r="X1862" s="33" t="str">
        <f>HYPERLINK("https://www.alpinabook.ru/catalog/book-bolshaya-kniga-priklyucheniy-konni-puteshestvia","ссылка на книгу")</f>
        <v>ссылка на книгу</v>
      </c>
      <c r="Y1862" s="34" t="str">
        <f>HYPERLINK("https://api-enni.alpina.ru/FileCertificateProject/488","https://api-enni.alpina.ru/FileCertificateProject/488")</f>
        <v>https://api-enni.alpina.ru/FileCertificateProject/488</v>
      </c>
      <c r="Z1862" s="13"/>
      <c r="AT1862" s="1">
        <f t="shared" si="355"/>
        <v>0</v>
      </c>
      <c r="AU1862" s="1">
        <f t="shared" si="356"/>
        <v>0</v>
      </c>
      <c r="AV1862" s="1">
        <f t="shared" si="357"/>
        <v>0</v>
      </c>
      <c r="AW1862" s="1">
        <f t="shared" si="358"/>
        <v>0</v>
      </c>
      <c r="AX1862" s="1">
        <f t="shared" si="359"/>
        <v>0</v>
      </c>
    </row>
    <row r="1863" spans="1:50" s="1" customFormat="1" ht="24.95" customHeight="1" outlineLevel="3" x14ac:dyDescent="0.2">
      <c r="A1863" s="11"/>
      <c r="B1863" s="12">
        <v>590</v>
      </c>
      <c r="C1863" s="15">
        <v>1090</v>
      </c>
      <c r="D1863" s="12">
        <v>32327</v>
      </c>
      <c r="E1863" s="13" t="s">
        <v>5505</v>
      </c>
      <c r="F1863" s="13" t="s">
        <v>6103</v>
      </c>
      <c r="G1863" s="13" t="s">
        <v>163</v>
      </c>
      <c r="H1863" s="13" t="s">
        <v>164</v>
      </c>
      <c r="I1863" s="12">
        <v>2025</v>
      </c>
      <c r="J1863" s="13" t="s">
        <v>6104</v>
      </c>
      <c r="K1863" s="12">
        <v>9785006302013</v>
      </c>
      <c r="L1863" s="13" t="s">
        <v>6105</v>
      </c>
      <c r="M1863" s="12">
        <v>110</v>
      </c>
      <c r="N1863" s="14">
        <v>0.39</v>
      </c>
      <c r="O1863" s="12">
        <v>210</v>
      </c>
      <c r="P1863" s="12">
        <v>210</v>
      </c>
      <c r="Q1863" s="12">
        <v>15</v>
      </c>
      <c r="R1863" s="13" t="s">
        <v>100</v>
      </c>
      <c r="S1863" s="13" t="s">
        <v>5509</v>
      </c>
      <c r="T1863" s="15">
        <v>3000</v>
      </c>
      <c r="U1863" s="13" t="s">
        <v>52</v>
      </c>
      <c r="V1863" s="13" t="s">
        <v>64</v>
      </c>
      <c r="W1863" s="12">
        <v>10</v>
      </c>
      <c r="X1863" s="33" t="str">
        <f>HYPERLINK("https://www.alpinabook.ru/catalog/book-bolshaya-kniga-priklyucheniy-konni-semia","ссылка на книгу")</f>
        <v>ссылка на книгу</v>
      </c>
      <c r="Y1863" s="34" t="str">
        <f>HYPERLINK("https://api-enni.alpina.ru/FileCertificateProject/442","https://api-enni.alpina.ru/FileCertificateProject/442")</f>
        <v>https://api-enni.alpina.ru/FileCertificateProject/442</v>
      </c>
      <c r="Z1863" s="13"/>
      <c r="AT1863" s="1">
        <f t="shared" si="355"/>
        <v>0</v>
      </c>
      <c r="AU1863" s="1">
        <f t="shared" si="356"/>
        <v>0</v>
      </c>
      <c r="AV1863" s="1">
        <f t="shared" si="357"/>
        <v>0</v>
      </c>
      <c r="AW1863" s="1">
        <f t="shared" si="358"/>
        <v>0</v>
      </c>
      <c r="AX1863" s="1">
        <f t="shared" si="359"/>
        <v>0</v>
      </c>
    </row>
    <row r="1864" spans="1:50" s="1" customFormat="1" ht="24.95" customHeight="1" outlineLevel="3" x14ac:dyDescent="0.2">
      <c r="A1864" s="11"/>
      <c r="B1864" s="12">
        <v>590</v>
      </c>
      <c r="C1864" s="15">
        <v>1090</v>
      </c>
      <c r="D1864" s="12">
        <v>29398</v>
      </c>
      <c r="E1864" s="13" t="s">
        <v>5505</v>
      </c>
      <c r="F1864" s="13" t="s">
        <v>6106</v>
      </c>
      <c r="G1864" s="13" t="s">
        <v>163</v>
      </c>
      <c r="H1864" s="13" t="s">
        <v>164</v>
      </c>
      <c r="I1864" s="12">
        <v>2025</v>
      </c>
      <c r="J1864" s="13" t="s">
        <v>6107</v>
      </c>
      <c r="K1864" s="12">
        <v>9785961492392</v>
      </c>
      <c r="L1864" s="13" t="s">
        <v>6108</v>
      </c>
      <c r="M1864" s="12">
        <v>112</v>
      </c>
      <c r="N1864" s="14">
        <v>0.39</v>
      </c>
      <c r="O1864" s="12">
        <v>210</v>
      </c>
      <c r="P1864" s="12">
        <v>210</v>
      </c>
      <c r="Q1864" s="12">
        <v>15</v>
      </c>
      <c r="R1864" s="13" t="s">
        <v>167</v>
      </c>
      <c r="S1864" s="13" t="s">
        <v>5509</v>
      </c>
      <c r="T1864" s="15">
        <v>3000</v>
      </c>
      <c r="U1864" s="13" t="s">
        <v>52</v>
      </c>
      <c r="V1864" s="13" t="s">
        <v>64</v>
      </c>
      <c r="W1864" s="12">
        <v>10</v>
      </c>
      <c r="X1864" s="33" t="str">
        <f>HYPERLINK("https://www.alpinabook.ru/catalog/book-bolshaya-kniga-priklyucheniy-konni-sport","ссылка на книгу")</f>
        <v>ссылка на книгу</v>
      </c>
      <c r="Y1864" s="34" t="str">
        <f>HYPERLINK("https://api-enni.alpina.ru/FileCertificateProject/471","https://api-enni.alpina.ru/FileCertificateProject/471")</f>
        <v>https://api-enni.alpina.ru/FileCertificateProject/471</v>
      </c>
      <c r="Z1864" s="13"/>
      <c r="AT1864" s="1">
        <f t="shared" si="355"/>
        <v>0</v>
      </c>
      <c r="AU1864" s="1">
        <f t="shared" si="356"/>
        <v>0</v>
      </c>
      <c r="AV1864" s="1">
        <f t="shared" si="357"/>
        <v>0</v>
      </c>
      <c r="AW1864" s="1">
        <f t="shared" si="358"/>
        <v>0</v>
      </c>
      <c r="AX1864" s="1">
        <f t="shared" si="359"/>
        <v>0</v>
      </c>
    </row>
    <row r="1865" spans="1:50" s="1" customFormat="1" ht="24.95" customHeight="1" outlineLevel="3" x14ac:dyDescent="0.2">
      <c r="A1865" s="11"/>
      <c r="B1865" s="12">
        <v>590</v>
      </c>
      <c r="C1865" s="15">
        <v>1090</v>
      </c>
      <c r="D1865" s="12">
        <v>28273</v>
      </c>
      <c r="E1865" s="13" t="s">
        <v>5505</v>
      </c>
      <c r="F1865" s="13" t="s">
        <v>6109</v>
      </c>
      <c r="G1865" s="13" t="s">
        <v>163</v>
      </c>
      <c r="H1865" s="13" t="s">
        <v>164</v>
      </c>
      <c r="I1865" s="12">
        <v>2024</v>
      </c>
      <c r="J1865" s="13" t="s">
        <v>6110</v>
      </c>
      <c r="K1865" s="12">
        <v>9785961487671</v>
      </c>
      <c r="L1865" s="13" t="s">
        <v>6111</v>
      </c>
      <c r="M1865" s="12">
        <v>104</v>
      </c>
      <c r="N1865" s="14">
        <v>0.36</v>
      </c>
      <c r="O1865" s="12">
        <v>210</v>
      </c>
      <c r="P1865" s="12">
        <v>210</v>
      </c>
      <c r="Q1865" s="12">
        <v>15</v>
      </c>
      <c r="R1865" s="13" t="s">
        <v>167</v>
      </c>
      <c r="S1865" s="13" t="s">
        <v>5509</v>
      </c>
      <c r="T1865" s="15">
        <v>3000</v>
      </c>
      <c r="U1865" s="13" t="s">
        <v>52</v>
      </c>
      <c r="V1865" s="13" t="s">
        <v>64</v>
      </c>
      <c r="W1865" s="12">
        <v>10</v>
      </c>
      <c r="X1865" s="33" t="str">
        <f>HYPERLINK("https://www.alpinabook.ru/catalog/book-bkpk-hobbi","ссылка на книгу")</f>
        <v>ссылка на книгу</v>
      </c>
      <c r="Y1865" s="34" t="str">
        <f>HYPERLINK("https://api-enni.alpina.ru/FileCertificateProject/464","https://api-enni.alpina.ru/FileCertificateProject/464")</f>
        <v>https://api-enni.alpina.ru/FileCertificateProject/464</v>
      </c>
      <c r="Z1865" s="13"/>
      <c r="AT1865" s="1">
        <f t="shared" si="355"/>
        <v>0</v>
      </c>
      <c r="AU1865" s="1">
        <f t="shared" si="356"/>
        <v>0</v>
      </c>
      <c r="AV1865" s="1">
        <f t="shared" si="357"/>
        <v>0</v>
      </c>
      <c r="AW1865" s="1">
        <f t="shared" si="358"/>
        <v>0</v>
      </c>
      <c r="AX1865" s="1">
        <f t="shared" si="359"/>
        <v>0</v>
      </c>
    </row>
    <row r="1866" spans="1:50" s="1" customFormat="1" ht="24.95" customHeight="1" outlineLevel="3" x14ac:dyDescent="0.2">
      <c r="A1866" s="11"/>
      <c r="B1866" s="12">
        <v>740</v>
      </c>
      <c r="C1866" s="15">
        <v>1090</v>
      </c>
      <c r="D1866" s="12">
        <v>28179</v>
      </c>
      <c r="E1866" s="13" t="s">
        <v>5505</v>
      </c>
      <c r="F1866" s="13" t="s">
        <v>6112</v>
      </c>
      <c r="G1866" s="13" t="s">
        <v>163</v>
      </c>
      <c r="H1866" s="13" t="s">
        <v>164</v>
      </c>
      <c r="I1866" s="12">
        <v>2024</v>
      </c>
      <c r="J1866" s="13" t="s">
        <v>6113</v>
      </c>
      <c r="K1866" s="12">
        <v>9785961487497</v>
      </c>
      <c r="L1866" s="13" t="s">
        <v>6114</v>
      </c>
      <c r="M1866" s="12">
        <v>104</v>
      </c>
      <c r="N1866" s="14">
        <v>0.33</v>
      </c>
      <c r="O1866" s="12">
        <v>210</v>
      </c>
      <c r="P1866" s="12">
        <v>210</v>
      </c>
      <c r="Q1866" s="12">
        <v>12</v>
      </c>
      <c r="R1866" s="13" t="s">
        <v>167</v>
      </c>
      <c r="S1866" s="13" t="s">
        <v>5509</v>
      </c>
      <c r="T1866" s="15">
        <v>5000</v>
      </c>
      <c r="U1866" s="13" t="s">
        <v>52</v>
      </c>
      <c r="V1866" s="13" t="s">
        <v>64</v>
      </c>
      <c r="W1866" s="12">
        <v>10</v>
      </c>
      <c r="X1866" s="33" t="str">
        <f>HYPERLINK("https://www.alpinabook.ru/catalog/book-bkpk-emotsii","ссылка на книгу")</f>
        <v>ссылка на книгу</v>
      </c>
      <c r="Y1866" s="34" t="str">
        <f>HYPERLINK("https://api-enni.alpina.ru/FileCertificateProject/465","https://api-enni.alpina.ru/FileCertificateProject/465")</f>
        <v>https://api-enni.alpina.ru/FileCertificateProject/465</v>
      </c>
      <c r="Z1866" s="13"/>
      <c r="AT1866" s="1">
        <f t="shared" si="355"/>
        <v>0</v>
      </c>
      <c r="AU1866" s="1">
        <f t="shared" si="356"/>
        <v>0</v>
      </c>
      <c r="AV1866" s="1">
        <f t="shared" si="357"/>
        <v>0</v>
      </c>
      <c r="AW1866" s="1">
        <f t="shared" si="358"/>
        <v>0</v>
      </c>
      <c r="AX1866" s="1">
        <f t="shared" si="359"/>
        <v>0</v>
      </c>
    </row>
    <row r="1867" spans="1:50" s="1" customFormat="1" ht="24.95" customHeight="1" outlineLevel="3" x14ac:dyDescent="0.2">
      <c r="A1867" s="11"/>
      <c r="B1867" s="12">
        <v>590</v>
      </c>
      <c r="C1867" s="12">
        <v>840</v>
      </c>
      <c r="D1867" s="12">
        <v>26615</v>
      </c>
      <c r="E1867" s="13" t="s">
        <v>71</v>
      </c>
      <c r="F1867" s="13" t="s">
        <v>6115</v>
      </c>
      <c r="G1867" s="13" t="s">
        <v>163</v>
      </c>
      <c r="H1867" s="13"/>
      <c r="I1867" s="12">
        <v>2024</v>
      </c>
      <c r="J1867" s="13" t="s">
        <v>6116</v>
      </c>
      <c r="K1867" s="12">
        <v>9785961482416</v>
      </c>
      <c r="L1867" s="13" t="s">
        <v>6117</v>
      </c>
      <c r="M1867" s="12">
        <v>80</v>
      </c>
      <c r="N1867" s="14">
        <v>0.33</v>
      </c>
      <c r="O1867" s="12">
        <v>180</v>
      </c>
      <c r="P1867" s="12">
        <v>250</v>
      </c>
      <c r="Q1867" s="12">
        <v>10</v>
      </c>
      <c r="R1867" s="13" t="s">
        <v>94</v>
      </c>
      <c r="S1867" s="13"/>
      <c r="T1867" s="15">
        <v>3000</v>
      </c>
      <c r="U1867" s="13" t="s">
        <v>52</v>
      </c>
      <c r="V1867" s="13" t="s">
        <v>64</v>
      </c>
      <c r="W1867" s="12">
        <v>10</v>
      </c>
      <c r="X1867" s="33" t="str">
        <f>HYPERLINK("https://www.alpinabook.ru/catalog/book-bukvar","ссылка на книгу")</f>
        <v>ссылка на книгу</v>
      </c>
      <c r="Y1867" s="34" t="str">
        <f>HYPERLINK("https://api-enni.alpina.ru/FileCertificateProject/709","https://api-enni.alpina.ru/FileCertificateProject/709")</f>
        <v>https://api-enni.alpina.ru/FileCertificateProject/709</v>
      </c>
      <c r="Z1867" s="13"/>
      <c r="AT1867" s="1">
        <f t="shared" si="355"/>
        <v>0</v>
      </c>
      <c r="AU1867" s="1">
        <f t="shared" si="356"/>
        <v>0</v>
      </c>
      <c r="AV1867" s="1">
        <f t="shared" si="357"/>
        <v>0</v>
      </c>
      <c r="AW1867" s="1">
        <f t="shared" si="358"/>
        <v>0</v>
      </c>
      <c r="AX1867" s="1">
        <f t="shared" si="359"/>
        <v>0</v>
      </c>
    </row>
    <row r="1868" spans="1:50" s="1" customFormat="1" ht="21.95" customHeight="1" outlineLevel="3" x14ac:dyDescent="0.2">
      <c r="A1868" s="11"/>
      <c r="B1868" s="12">
        <v>650</v>
      </c>
      <c r="C1868" s="12">
        <v>940</v>
      </c>
      <c r="D1868" s="12">
        <v>27853</v>
      </c>
      <c r="E1868" s="13" t="s">
        <v>6118</v>
      </c>
      <c r="F1868" s="13" t="s">
        <v>6119</v>
      </c>
      <c r="G1868" s="13" t="s">
        <v>163</v>
      </c>
      <c r="H1868" s="13"/>
      <c r="I1868" s="12">
        <v>2023</v>
      </c>
      <c r="J1868" s="13" t="s">
        <v>6120</v>
      </c>
      <c r="K1868" s="12">
        <v>9785961491296</v>
      </c>
      <c r="L1868" s="13" t="s">
        <v>6121</v>
      </c>
      <c r="M1868" s="12">
        <v>96</v>
      </c>
      <c r="N1868" s="14">
        <v>0.47</v>
      </c>
      <c r="O1868" s="12">
        <v>200</v>
      </c>
      <c r="P1868" s="12">
        <v>270</v>
      </c>
      <c r="Q1868" s="12">
        <v>12</v>
      </c>
      <c r="R1868" s="13" t="s">
        <v>167</v>
      </c>
      <c r="S1868" s="13" t="s">
        <v>5509</v>
      </c>
      <c r="T1868" s="15">
        <v>4000</v>
      </c>
      <c r="U1868" s="13" t="s">
        <v>52</v>
      </c>
      <c r="V1868" s="13" t="s">
        <v>64</v>
      </c>
      <c r="W1868" s="12">
        <v>10</v>
      </c>
      <c r="X1868" s="33" t="str">
        <f>HYPERLINK("https://www.alpinabook.ru/catalog/book-bukvar-s-konni","ссылка на книгу")</f>
        <v>ссылка на книгу</v>
      </c>
      <c r="Y1868" s="34" t="str">
        <f>HYPERLINK("","")</f>
        <v/>
      </c>
      <c r="Z1868" s="13"/>
      <c r="AT1868" s="1">
        <f t="shared" si="355"/>
        <v>0</v>
      </c>
      <c r="AU1868" s="1">
        <f t="shared" si="356"/>
        <v>0</v>
      </c>
      <c r="AV1868" s="1">
        <f t="shared" si="357"/>
        <v>0</v>
      </c>
      <c r="AW1868" s="1">
        <f t="shared" si="358"/>
        <v>0</v>
      </c>
      <c r="AX1868" s="1">
        <f t="shared" si="359"/>
        <v>0</v>
      </c>
    </row>
    <row r="1869" spans="1:50" s="1" customFormat="1" ht="24.95" customHeight="1" outlineLevel="3" x14ac:dyDescent="0.2">
      <c r="A1869" s="11"/>
      <c r="B1869" s="12">
        <v>560</v>
      </c>
      <c r="C1869" s="12">
        <v>840</v>
      </c>
      <c r="D1869" s="12">
        <v>27342</v>
      </c>
      <c r="E1869" s="13" t="s">
        <v>6122</v>
      </c>
      <c r="F1869" s="13" t="s">
        <v>6123</v>
      </c>
      <c r="G1869" s="13" t="s">
        <v>163</v>
      </c>
      <c r="H1869" s="13" t="s">
        <v>164</v>
      </c>
      <c r="I1869" s="12">
        <v>2024</v>
      </c>
      <c r="J1869" s="13" t="s">
        <v>6124</v>
      </c>
      <c r="K1869" s="12">
        <v>9785961484687</v>
      </c>
      <c r="L1869" s="13" t="s">
        <v>6125</v>
      </c>
      <c r="M1869" s="12">
        <v>12</v>
      </c>
      <c r="N1869" s="14">
        <v>0.34</v>
      </c>
      <c r="O1869" s="12">
        <v>240</v>
      </c>
      <c r="P1869" s="12">
        <v>320</v>
      </c>
      <c r="Q1869" s="12">
        <v>12</v>
      </c>
      <c r="R1869" s="13" t="s">
        <v>167</v>
      </c>
      <c r="S1869" s="13" t="s">
        <v>5509</v>
      </c>
      <c r="T1869" s="15">
        <v>5000</v>
      </c>
      <c r="U1869" s="13" t="s">
        <v>44</v>
      </c>
      <c r="V1869" s="13" t="s">
        <v>64</v>
      </c>
      <c r="W1869" s="12">
        <v>10</v>
      </c>
      <c r="X1869" s="33" t="str">
        <f>HYPERLINK("https://www.alpinabook.ru/catalog/book-vimmelbukh-konni-i-yakob-igrayut-v-pryatki","ссылка на книгу")</f>
        <v>ссылка на книгу</v>
      </c>
      <c r="Y1869" s="34" t="str">
        <f>HYPERLINK("https://api-enni.alpina.ru/FileCertificateProject/668","https://api-enni.alpina.ru/FileCertificateProject/668")</f>
        <v>https://api-enni.alpina.ru/FileCertificateProject/668</v>
      </c>
      <c r="Z1869" s="13"/>
      <c r="AT1869" s="1">
        <f t="shared" si="355"/>
        <v>0</v>
      </c>
      <c r="AU1869" s="1">
        <f t="shared" si="356"/>
        <v>0</v>
      </c>
      <c r="AV1869" s="1">
        <f t="shared" si="357"/>
        <v>0</v>
      </c>
      <c r="AW1869" s="1">
        <f t="shared" si="358"/>
        <v>0</v>
      </c>
      <c r="AX1869" s="1">
        <f t="shared" si="359"/>
        <v>0</v>
      </c>
    </row>
    <row r="1870" spans="1:50" s="1" customFormat="1" ht="24.95" customHeight="1" outlineLevel="3" x14ac:dyDescent="0.2">
      <c r="A1870" s="11"/>
      <c r="B1870" s="12">
        <v>790</v>
      </c>
      <c r="C1870" s="15">
        <v>1190</v>
      </c>
      <c r="D1870" s="12">
        <v>27343</v>
      </c>
      <c r="E1870" s="13" t="s">
        <v>6126</v>
      </c>
      <c r="F1870" s="13" t="s">
        <v>6127</v>
      </c>
      <c r="G1870" s="13" t="s">
        <v>163</v>
      </c>
      <c r="H1870" s="13" t="s">
        <v>164</v>
      </c>
      <c r="I1870" s="12">
        <v>2023</v>
      </c>
      <c r="J1870" s="13" t="s">
        <v>6128</v>
      </c>
      <c r="K1870" s="12">
        <v>9785961484694</v>
      </c>
      <c r="L1870" s="13" t="s">
        <v>6129</v>
      </c>
      <c r="M1870" s="12">
        <v>14</v>
      </c>
      <c r="N1870" s="14">
        <v>0.38</v>
      </c>
      <c r="O1870" s="12">
        <v>240</v>
      </c>
      <c r="P1870" s="12">
        <v>320</v>
      </c>
      <c r="Q1870" s="12">
        <v>8</v>
      </c>
      <c r="R1870" s="13" t="s">
        <v>167</v>
      </c>
      <c r="S1870" s="13" t="s">
        <v>5509</v>
      </c>
      <c r="T1870" s="15">
        <v>3500</v>
      </c>
      <c r="U1870" s="13" t="s">
        <v>44</v>
      </c>
      <c r="V1870" s="13" t="s">
        <v>64</v>
      </c>
      <c r="W1870" s="12">
        <v>10</v>
      </c>
      <c r="X1870" s="33" t="str">
        <f>HYPERLINK("https://www.alpinabook.ru/catalog/book-vimmelbukh-yakob-ishchet-konni","ссылка на книгу")</f>
        <v>ссылка на книгу</v>
      </c>
      <c r="Y1870" s="34" t="str">
        <f>HYPERLINK("https://api-enni.alpina.ru/FileCertificateProject/64","https://api-enni.alpina.ru/FileCertificateProject/64")</f>
        <v>https://api-enni.alpina.ru/FileCertificateProject/64</v>
      </c>
      <c r="Z1870" s="13"/>
      <c r="AT1870" s="1">
        <f t="shared" si="355"/>
        <v>0</v>
      </c>
      <c r="AU1870" s="1">
        <f t="shared" si="356"/>
        <v>0</v>
      </c>
      <c r="AV1870" s="1">
        <f t="shared" si="357"/>
        <v>0</v>
      </c>
      <c r="AW1870" s="1">
        <f t="shared" si="358"/>
        <v>0</v>
      </c>
      <c r="AX1870" s="1">
        <f t="shared" si="359"/>
        <v>0</v>
      </c>
    </row>
    <row r="1871" spans="1:50" s="1" customFormat="1" ht="24.95" customHeight="1" outlineLevel="3" x14ac:dyDescent="0.2">
      <c r="A1871" s="11"/>
      <c r="B1871" s="12">
        <v>990</v>
      </c>
      <c r="C1871" s="15">
        <v>1490</v>
      </c>
      <c r="D1871" s="12">
        <v>18077</v>
      </c>
      <c r="E1871" s="13" t="s">
        <v>5505</v>
      </c>
      <c r="F1871" s="13" t="s">
        <v>6130</v>
      </c>
      <c r="G1871" s="13" t="s">
        <v>163</v>
      </c>
      <c r="H1871" s="13" t="s">
        <v>164</v>
      </c>
      <c r="I1871" s="12">
        <v>2025</v>
      </c>
      <c r="J1871" s="13" t="s">
        <v>6131</v>
      </c>
      <c r="K1871" s="12">
        <v>9785961436969</v>
      </c>
      <c r="L1871" s="13" t="s">
        <v>6132</v>
      </c>
      <c r="M1871" s="12">
        <v>16</v>
      </c>
      <c r="N1871" s="14">
        <v>0.39</v>
      </c>
      <c r="O1871" s="12">
        <v>225</v>
      </c>
      <c r="P1871" s="12">
        <v>246</v>
      </c>
      <c r="Q1871" s="12">
        <v>5</v>
      </c>
      <c r="R1871" s="13" t="s">
        <v>82</v>
      </c>
      <c r="S1871" s="13" t="s">
        <v>5509</v>
      </c>
      <c r="T1871" s="15">
        <v>2500</v>
      </c>
      <c r="U1871" s="13" t="s">
        <v>52</v>
      </c>
      <c r="V1871" s="13" t="s">
        <v>64</v>
      </c>
      <c r="W1871" s="12">
        <v>10</v>
      </c>
      <c r="X1871" s="33" t="str">
        <f>HYPERLINK("","ссылка на книгу")</f>
        <v>ссылка на книгу</v>
      </c>
      <c r="Y1871" s="34" t="str">
        <f>HYPERLINK("https://api-enni.alpina.ru/FileCertificateProject/751","https://api-enni.alpina.ru/FileCertificateProject/751")</f>
        <v>https://api-enni.alpina.ru/FileCertificateProject/751</v>
      </c>
      <c r="Z1871" s="13" t="s">
        <v>65</v>
      </c>
      <c r="AT1871" s="1">
        <f t="shared" si="355"/>
        <v>0</v>
      </c>
      <c r="AU1871" s="1">
        <f t="shared" si="356"/>
        <v>0</v>
      </c>
      <c r="AV1871" s="1">
        <f t="shared" si="357"/>
        <v>0</v>
      </c>
      <c r="AW1871" s="1">
        <f t="shared" si="358"/>
        <v>0</v>
      </c>
      <c r="AX1871" s="1">
        <f t="shared" si="359"/>
        <v>0</v>
      </c>
    </row>
    <row r="1872" spans="1:50" s="1" customFormat="1" ht="24.95" customHeight="1" outlineLevel="3" x14ac:dyDescent="0.2">
      <c r="A1872" s="11"/>
      <c r="B1872" s="12">
        <v>200</v>
      </c>
      <c r="C1872" s="12">
        <v>340</v>
      </c>
      <c r="D1872" s="12">
        <v>25834</v>
      </c>
      <c r="E1872" s="13" t="s">
        <v>283</v>
      </c>
      <c r="F1872" s="13" t="s">
        <v>6133</v>
      </c>
      <c r="G1872" s="13" t="s">
        <v>163</v>
      </c>
      <c r="H1872" s="13" t="s">
        <v>164</v>
      </c>
      <c r="I1872" s="12">
        <v>2022</v>
      </c>
      <c r="J1872" s="13" t="s">
        <v>6134</v>
      </c>
      <c r="K1872" s="12">
        <v>9785961478686</v>
      </c>
      <c r="L1872" s="13" t="s">
        <v>6135</v>
      </c>
      <c r="M1872" s="12">
        <v>64</v>
      </c>
      <c r="N1872" s="14">
        <v>0.2</v>
      </c>
      <c r="O1872" s="12">
        <v>190</v>
      </c>
      <c r="P1872" s="12">
        <v>270</v>
      </c>
      <c r="Q1872" s="12">
        <v>15</v>
      </c>
      <c r="R1872" s="13" t="s">
        <v>167</v>
      </c>
      <c r="S1872" s="13" t="s">
        <v>5509</v>
      </c>
      <c r="T1872" s="15">
        <v>3000</v>
      </c>
      <c r="U1872" s="13" t="s">
        <v>44</v>
      </c>
      <c r="V1872" s="13" t="s">
        <v>269</v>
      </c>
      <c r="W1872" s="12">
        <v>10</v>
      </c>
      <c r="X1872" s="33" t="str">
        <f>HYPERLINK("https://www.alpinabook.ru/catalog/book-golovolomki-s-konni-logika-i-ustnyy-schyet","ссылка на книгу")</f>
        <v>ссылка на книгу</v>
      </c>
      <c r="Y1872" s="34" t="str">
        <f>HYPERLINK("https://api-enni.alpina.ru/FileCertificateProject/736","https://api-enni.alpina.ru/FileCertificateProject/736")</f>
        <v>https://api-enni.alpina.ru/FileCertificateProject/736</v>
      </c>
      <c r="Z1872" s="13"/>
      <c r="AT1872" s="1">
        <f t="shared" si="355"/>
        <v>0</v>
      </c>
      <c r="AU1872" s="1">
        <f t="shared" si="356"/>
        <v>0</v>
      </c>
      <c r="AV1872" s="1">
        <f t="shared" si="357"/>
        <v>0</v>
      </c>
      <c r="AW1872" s="1">
        <f t="shared" si="358"/>
        <v>0</v>
      </c>
      <c r="AX1872" s="1">
        <f t="shared" si="359"/>
        <v>0</v>
      </c>
    </row>
    <row r="1873" spans="1:50" s="1" customFormat="1" ht="21.95" customHeight="1" outlineLevel="3" x14ac:dyDescent="0.2">
      <c r="A1873" s="11"/>
      <c r="B1873" s="12">
        <v>560</v>
      </c>
      <c r="C1873" s="12">
        <v>840</v>
      </c>
      <c r="D1873" s="12">
        <v>27265</v>
      </c>
      <c r="E1873" s="13" t="s">
        <v>283</v>
      </c>
      <c r="F1873" s="13" t="s">
        <v>6136</v>
      </c>
      <c r="G1873" s="13" t="s">
        <v>163</v>
      </c>
      <c r="H1873" s="13" t="s">
        <v>164</v>
      </c>
      <c r="I1873" s="12">
        <v>2024</v>
      </c>
      <c r="J1873" s="13" t="s">
        <v>6137</v>
      </c>
      <c r="K1873" s="12">
        <v>9785961484519</v>
      </c>
      <c r="L1873" s="13" t="s">
        <v>6138</v>
      </c>
      <c r="M1873" s="12">
        <v>64</v>
      </c>
      <c r="N1873" s="14">
        <v>0.3</v>
      </c>
      <c r="O1873" s="12">
        <v>190</v>
      </c>
      <c r="P1873" s="12">
        <v>220</v>
      </c>
      <c r="Q1873" s="12">
        <v>14</v>
      </c>
      <c r="R1873" s="13" t="s">
        <v>167</v>
      </c>
      <c r="S1873" s="13" t="s">
        <v>5509</v>
      </c>
      <c r="T1873" s="15">
        <v>3000</v>
      </c>
      <c r="U1873" s="13" t="s">
        <v>52</v>
      </c>
      <c r="V1873" s="13" t="s">
        <v>269</v>
      </c>
      <c r="W1873" s="12">
        <v>10</v>
      </c>
      <c r="X1873" s="33" t="str">
        <f>HYPERLINK("https://www.alpinabook.ru/catalog/book-gotovim-s-konni","ссылка на книгу")</f>
        <v>ссылка на книгу</v>
      </c>
      <c r="Y1873" s="34" t="str">
        <f>HYPERLINK("","")</f>
        <v/>
      </c>
      <c r="Z1873" s="13"/>
      <c r="AT1873" s="1">
        <f t="shared" si="355"/>
        <v>0</v>
      </c>
      <c r="AU1873" s="1">
        <f t="shared" si="356"/>
        <v>0</v>
      </c>
      <c r="AV1873" s="1">
        <f t="shared" si="357"/>
        <v>0</v>
      </c>
      <c r="AW1873" s="1">
        <f t="shared" si="358"/>
        <v>0</v>
      </c>
      <c r="AX1873" s="1">
        <f t="shared" si="359"/>
        <v>0</v>
      </c>
    </row>
    <row r="1874" spans="1:50" s="1" customFormat="1" ht="21.95" customHeight="1" outlineLevel="3" x14ac:dyDescent="0.2">
      <c r="A1874" s="11"/>
      <c r="B1874" s="12">
        <v>560</v>
      </c>
      <c r="C1874" s="12">
        <v>840</v>
      </c>
      <c r="D1874" s="12">
        <v>30599</v>
      </c>
      <c r="E1874" s="13" t="s">
        <v>283</v>
      </c>
      <c r="F1874" s="13" t="s">
        <v>6139</v>
      </c>
      <c r="G1874" s="13" t="s">
        <v>163</v>
      </c>
      <c r="H1874" s="13"/>
      <c r="I1874" s="12">
        <v>2024</v>
      </c>
      <c r="J1874" s="13" t="s">
        <v>6140</v>
      </c>
      <c r="K1874" s="12">
        <v>9785961495973</v>
      </c>
      <c r="L1874" s="13" t="s">
        <v>6141</v>
      </c>
      <c r="M1874" s="12">
        <v>64</v>
      </c>
      <c r="N1874" s="14">
        <v>0.31</v>
      </c>
      <c r="O1874" s="12">
        <v>200</v>
      </c>
      <c r="P1874" s="12">
        <v>230</v>
      </c>
      <c r="Q1874" s="12">
        <v>14</v>
      </c>
      <c r="R1874" s="13" t="s">
        <v>167</v>
      </c>
      <c r="S1874" s="13" t="s">
        <v>5509</v>
      </c>
      <c r="T1874" s="15">
        <v>3000</v>
      </c>
      <c r="U1874" s="13" t="s">
        <v>52</v>
      </c>
      <c r="V1874" s="13" t="s">
        <v>269</v>
      </c>
      <c r="W1874" s="12">
        <v>10</v>
      </c>
      <c r="X1874" s="33" t="str">
        <f>HYPERLINK("https://www.alpinabook.ru/catalog/book-gotovim-s-konni-retsepty-na-lyuboy-prazdnik","ссылка на книгу")</f>
        <v>ссылка на книгу</v>
      </c>
      <c r="Y1874" s="34" t="str">
        <f>HYPERLINK("","")</f>
        <v/>
      </c>
      <c r="Z1874" s="13"/>
      <c r="AT1874" s="1">
        <f t="shared" si="355"/>
        <v>0</v>
      </c>
      <c r="AU1874" s="1">
        <f t="shared" si="356"/>
        <v>0</v>
      </c>
      <c r="AV1874" s="1">
        <f t="shared" si="357"/>
        <v>0</v>
      </c>
      <c r="AW1874" s="1">
        <f t="shared" si="358"/>
        <v>0</v>
      </c>
      <c r="AX1874" s="1">
        <f t="shared" si="359"/>
        <v>0</v>
      </c>
    </row>
    <row r="1875" spans="1:50" s="1" customFormat="1" ht="24.95" customHeight="1" outlineLevel="3" x14ac:dyDescent="0.2">
      <c r="A1875" s="11"/>
      <c r="B1875" s="12">
        <v>290</v>
      </c>
      <c r="C1875" s="12">
        <v>440</v>
      </c>
      <c r="D1875" s="12">
        <v>28786</v>
      </c>
      <c r="E1875" s="13" t="s">
        <v>283</v>
      </c>
      <c r="F1875" s="13" t="s">
        <v>6142</v>
      </c>
      <c r="G1875" s="13" t="s">
        <v>163</v>
      </c>
      <c r="H1875" s="13"/>
      <c r="I1875" s="12">
        <v>2024</v>
      </c>
      <c r="J1875" s="13" t="s">
        <v>6143</v>
      </c>
      <c r="K1875" s="12">
        <v>9785961490053</v>
      </c>
      <c r="L1875" s="13" t="s">
        <v>6144</v>
      </c>
      <c r="M1875" s="12">
        <v>56</v>
      </c>
      <c r="N1875" s="14">
        <v>0.16</v>
      </c>
      <c r="O1875" s="12">
        <v>200</v>
      </c>
      <c r="P1875" s="12">
        <v>260</v>
      </c>
      <c r="Q1875" s="12">
        <v>20</v>
      </c>
      <c r="R1875" s="13" t="s">
        <v>300</v>
      </c>
      <c r="S1875" s="13" t="s">
        <v>5509</v>
      </c>
      <c r="T1875" s="15">
        <v>2000</v>
      </c>
      <c r="U1875" s="13" t="s">
        <v>44</v>
      </c>
      <c r="V1875" s="13" t="s">
        <v>269</v>
      </c>
      <c r="W1875" s="12">
        <v>10</v>
      </c>
      <c r="X1875" s="33" t="str">
        <f>HYPERLINK("https://www.alpinabook.ru/catalog/book-dengi-treniruem-schyet","ссылка на книгу")</f>
        <v>ссылка на книгу</v>
      </c>
      <c r="Y1875" s="34" t="str">
        <f>HYPERLINK("https://api-enni.alpina.ru/FileCertificateProject/447","https://api-enni.alpina.ru/FileCertificateProject/447")</f>
        <v>https://api-enni.alpina.ru/FileCertificateProject/447</v>
      </c>
      <c r="Z1875" s="13"/>
      <c r="AT1875" s="1">
        <f t="shared" si="355"/>
        <v>0</v>
      </c>
      <c r="AU1875" s="1">
        <f t="shared" si="356"/>
        <v>0</v>
      </c>
      <c r="AV1875" s="1">
        <f t="shared" si="357"/>
        <v>0</v>
      </c>
      <c r="AW1875" s="1">
        <f t="shared" si="358"/>
        <v>0</v>
      </c>
      <c r="AX1875" s="1">
        <f t="shared" si="359"/>
        <v>0</v>
      </c>
    </row>
    <row r="1876" spans="1:50" s="1" customFormat="1" ht="21.95" customHeight="1" outlineLevel="3" x14ac:dyDescent="0.2">
      <c r="A1876" s="11"/>
      <c r="B1876" s="12">
        <v>520</v>
      </c>
      <c r="C1876" s="12">
        <v>790</v>
      </c>
      <c r="D1876" s="12">
        <v>27250</v>
      </c>
      <c r="E1876" s="13" t="s">
        <v>6145</v>
      </c>
      <c r="F1876" s="13" t="s">
        <v>6146</v>
      </c>
      <c r="G1876" s="13" t="s">
        <v>163</v>
      </c>
      <c r="H1876" s="13" t="s">
        <v>164</v>
      </c>
      <c r="I1876" s="12">
        <v>2023</v>
      </c>
      <c r="J1876" s="13" t="s">
        <v>6147</v>
      </c>
      <c r="K1876" s="12">
        <v>9785961484373</v>
      </c>
      <c r="L1876" s="13" t="s">
        <v>6148</v>
      </c>
      <c r="M1876" s="12">
        <v>128</v>
      </c>
      <c r="N1876" s="14">
        <v>0.26</v>
      </c>
      <c r="O1876" s="12">
        <v>130</v>
      </c>
      <c r="P1876" s="12">
        <v>210</v>
      </c>
      <c r="Q1876" s="12">
        <v>20</v>
      </c>
      <c r="R1876" s="13" t="s">
        <v>82</v>
      </c>
      <c r="S1876" s="13" t="s">
        <v>5509</v>
      </c>
      <c r="T1876" s="15">
        <v>2000</v>
      </c>
      <c r="U1876" s="13" t="s">
        <v>52</v>
      </c>
      <c r="V1876" s="13" t="s">
        <v>269</v>
      </c>
      <c r="W1876" s="12">
        <v>10</v>
      </c>
      <c r="X1876" s="33" t="str">
        <f>HYPERLINK("https://www.alpinabook.ru/catalog/book-domik-na-dereve","ссылка на книгу")</f>
        <v>ссылка на книгу</v>
      </c>
      <c r="Y1876" s="34" t="str">
        <f>HYPERLINK("","")</f>
        <v/>
      </c>
      <c r="Z1876" s="13"/>
      <c r="AT1876" s="1">
        <f t="shared" si="355"/>
        <v>0</v>
      </c>
      <c r="AU1876" s="1">
        <f t="shared" si="356"/>
        <v>0</v>
      </c>
      <c r="AV1876" s="1">
        <f t="shared" si="357"/>
        <v>0</v>
      </c>
      <c r="AW1876" s="1">
        <f t="shared" si="358"/>
        <v>0</v>
      </c>
      <c r="AX1876" s="1">
        <f t="shared" si="359"/>
        <v>0</v>
      </c>
    </row>
    <row r="1877" spans="1:50" s="1" customFormat="1" ht="21.95" customHeight="1" outlineLevel="3" x14ac:dyDescent="0.2">
      <c r="A1877" s="11"/>
      <c r="B1877" s="12">
        <v>520</v>
      </c>
      <c r="C1877" s="12">
        <v>790</v>
      </c>
      <c r="D1877" s="12">
        <v>27254</v>
      </c>
      <c r="E1877" s="13" t="s">
        <v>6145</v>
      </c>
      <c r="F1877" s="13" t="s">
        <v>6149</v>
      </c>
      <c r="G1877" s="13" t="s">
        <v>163</v>
      </c>
      <c r="H1877" s="13" t="s">
        <v>164</v>
      </c>
      <c r="I1877" s="12">
        <v>2024</v>
      </c>
      <c r="J1877" s="13" t="s">
        <v>6150</v>
      </c>
      <c r="K1877" s="12">
        <v>9785961484403</v>
      </c>
      <c r="L1877" s="13" t="s">
        <v>6151</v>
      </c>
      <c r="M1877" s="12">
        <v>128</v>
      </c>
      <c r="N1877" s="14">
        <v>0.25</v>
      </c>
      <c r="O1877" s="12">
        <v>130</v>
      </c>
      <c r="P1877" s="12">
        <v>210</v>
      </c>
      <c r="Q1877" s="12">
        <v>20</v>
      </c>
      <c r="R1877" s="13" t="s">
        <v>82</v>
      </c>
      <c r="S1877" s="13" t="s">
        <v>5509</v>
      </c>
      <c r="T1877" s="15">
        <v>2000</v>
      </c>
      <c r="U1877" s="13" t="s">
        <v>52</v>
      </c>
      <c r="V1877" s="13" t="s">
        <v>269</v>
      </c>
      <c r="W1877" s="12">
        <v>10</v>
      </c>
      <c r="X1877" s="33" t="str">
        <f>HYPERLINK("https://www.alpinabook.ru/catalog/book-zimnie-priklyucheniya-na-konyushne","ссылка на книгу")</f>
        <v>ссылка на книгу</v>
      </c>
      <c r="Y1877" s="34" t="str">
        <f>HYPERLINK("","")</f>
        <v/>
      </c>
      <c r="Z1877" s="13"/>
      <c r="AT1877" s="1">
        <f t="shared" si="355"/>
        <v>0</v>
      </c>
      <c r="AU1877" s="1">
        <f t="shared" si="356"/>
        <v>0</v>
      </c>
      <c r="AV1877" s="1">
        <f t="shared" si="357"/>
        <v>0</v>
      </c>
      <c r="AW1877" s="1">
        <f t="shared" si="358"/>
        <v>0</v>
      </c>
      <c r="AX1877" s="1">
        <f t="shared" si="359"/>
        <v>0</v>
      </c>
    </row>
    <row r="1878" spans="1:50" s="1" customFormat="1" ht="24.95" customHeight="1" outlineLevel="3" x14ac:dyDescent="0.2">
      <c r="A1878" s="11"/>
      <c r="B1878" s="12">
        <v>550</v>
      </c>
      <c r="C1878" s="12">
        <v>790</v>
      </c>
      <c r="D1878" s="12">
        <v>23790</v>
      </c>
      <c r="E1878" s="13" t="s">
        <v>2899</v>
      </c>
      <c r="F1878" s="13" t="s">
        <v>6152</v>
      </c>
      <c r="G1878" s="13" t="s">
        <v>163</v>
      </c>
      <c r="H1878" s="13"/>
      <c r="I1878" s="12">
        <v>2021</v>
      </c>
      <c r="J1878" s="13" t="s">
        <v>6153</v>
      </c>
      <c r="K1878" s="12">
        <v>9785961473513</v>
      </c>
      <c r="L1878" s="13" t="s">
        <v>6154</v>
      </c>
      <c r="M1878" s="12">
        <v>28</v>
      </c>
      <c r="N1878" s="14">
        <v>0.28000000000000003</v>
      </c>
      <c r="O1878" s="12">
        <v>290</v>
      </c>
      <c r="P1878" s="12">
        <v>290</v>
      </c>
      <c r="Q1878" s="12">
        <v>15</v>
      </c>
      <c r="R1878" s="13" t="s">
        <v>300</v>
      </c>
      <c r="S1878" s="13" t="s">
        <v>5509</v>
      </c>
      <c r="T1878" s="15">
        <v>3000</v>
      </c>
      <c r="U1878" s="13" t="s">
        <v>44</v>
      </c>
      <c r="V1878" s="13" t="s">
        <v>269</v>
      </c>
      <c r="W1878" s="12">
        <v>20</v>
      </c>
      <c r="X1878" s="33" t="str">
        <f>HYPERLINK("https://www.alpinabook.ru/catalog/book-kalendar-poleznykh-privychek","ссылка на книгу")</f>
        <v>ссылка на книгу</v>
      </c>
      <c r="Y1878" s="34" t="str">
        <f>HYPERLINK("https://api-enni.alpina.ru/FileCertificateProject/580","https://api-enni.alpina.ru/FileCertificateProject/580")</f>
        <v>https://api-enni.alpina.ru/FileCertificateProject/580</v>
      </c>
      <c r="Z1878" s="13"/>
      <c r="AT1878" s="1">
        <f t="shared" si="355"/>
        <v>0</v>
      </c>
      <c r="AU1878" s="1">
        <f t="shared" si="356"/>
        <v>0</v>
      </c>
      <c r="AV1878" s="1">
        <f t="shared" si="357"/>
        <v>0</v>
      </c>
      <c r="AW1878" s="1">
        <f t="shared" si="358"/>
        <v>0</v>
      </c>
      <c r="AX1878" s="1">
        <f t="shared" si="359"/>
        <v>0</v>
      </c>
    </row>
    <row r="1879" spans="1:50" s="1" customFormat="1" ht="21.95" customHeight="1" outlineLevel="3" x14ac:dyDescent="0.2">
      <c r="A1879" s="11"/>
      <c r="B1879" s="12">
        <v>390</v>
      </c>
      <c r="C1879" s="12">
        <v>640</v>
      </c>
      <c r="D1879" s="12">
        <v>27429</v>
      </c>
      <c r="E1879" s="13" t="s">
        <v>6145</v>
      </c>
      <c r="F1879" s="13" t="s">
        <v>6155</v>
      </c>
      <c r="G1879" s="13" t="s">
        <v>163</v>
      </c>
      <c r="H1879" s="13" t="s">
        <v>164</v>
      </c>
      <c r="I1879" s="12">
        <v>2023</v>
      </c>
      <c r="J1879" s="13" t="s">
        <v>6156</v>
      </c>
      <c r="K1879" s="12">
        <v>9785961484960</v>
      </c>
      <c r="L1879" s="13" t="s">
        <v>6157</v>
      </c>
      <c r="M1879" s="12">
        <v>72</v>
      </c>
      <c r="N1879" s="14">
        <v>0.28000000000000003</v>
      </c>
      <c r="O1879" s="12">
        <v>170</v>
      </c>
      <c r="P1879" s="12">
        <v>240</v>
      </c>
      <c r="Q1879" s="12">
        <v>15</v>
      </c>
      <c r="R1879" s="13" t="s">
        <v>94</v>
      </c>
      <c r="S1879" s="13" t="s">
        <v>5509</v>
      </c>
      <c r="T1879" s="15">
        <v>3000</v>
      </c>
      <c r="U1879" s="13" t="s">
        <v>52</v>
      </c>
      <c r="V1879" s="13" t="s">
        <v>64</v>
      </c>
      <c r="W1879" s="12">
        <v>10</v>
      </c>
      <c r="X1879" s="33" t="str">
        <f>HYPERLINK("https://www.alpinabook.ru/catalog/book-komiksy-s-konni-dnevnik-gusenitsy","ссылка на книгу")</f>
        <v>ссылка на книгу</v>
      </c>
      <c r="Y1879" s="34" t="str">
        <f>HYPERLINK("","")</f>
        <v/>
      </c>
      <c r="Z1879" s="13"/>
      <c r="AT1879" s="1">
        <f t="shared" si="355"/>
        <v>0</v>
      </c>
      <c r="AU1879" s="1">
        <f t="shared" si="356"/>
        <v>0</v>
      </c>
      <c r="AV1879" s="1">
        <f t="shared" si="357"/>
        <v>0</v>
      </c>
      <c r="AW1879" s="1">
        <f t="shared" si="358"/>
        <v>0</v>
      </c>
      <c r="AX1879" s="1">
        <f t="shared" si="359"/>
        <v>0</v>
      </c>
    </row>
    <row r="1880" spans="1:50" s="1" customFormat="1" ht="24.95" customHeight="1" outlineLevel="3" x14ac:dyDescent="0.2">
      <c r="A1880" s="11"/>
      <c r="B1880" s="12">
        <v>390</v>
      </c>
      <c r="C1880" s="12">
        <v>640</v>
      </c>
      <c r="D1880" s="12">
        <v>27564</v>
      </c>
      <c r="E1880" s="13" t="s">
        <v>6145</v>
      </c>
      <c r="F1880" s="13" t="s">
        <v>6158</v>
      </c>
      <c r="G1880" s="13" t="s">
        <v>163</v>
      </c>
      <c r="H1880" s="13" t="s">
        <v>164</v>
      </c>
      <c r="I1880" s="12">
        <v>2023</v>
      </c>
      <c r="J1880" s="13" t="s">
        <v>6159</v>
      </c>
      <c r="K1880" s="12">
        <v>9785961485660</v>
      </c>
      <c r="L1880" s="13" t="s">
        <v>6160</v>
      </c>
      <c r="M1880" s="12">
        <v>72</v>
      </c>
      <c r="N1880" s="14">
        <v>0.28000000000000003</v>
      </c>
      <c r="O1880" s="12">
        <v>170</v>
      </c>
      <c r="P1880" s="12">
        <v>250</v>
      </c>
      <c r="Q1880" s="12">
        <v>15</v>
      </c>
      <c r="R1880" s="13" t="s">
        <v>94</v>
      </c>
      <c r="S1880" s="13" t="s">
        <v>5509</v>
      </c>
      <c r="T1880" s="15">
        <v>3000</v>
      </c>
      <c r="U1880" s="13" t="s">
        <v>52</v>
      </c>
      <c r="V1880" s="13" t="s">
        <v>64</v>
      </c>
      <c r="W1880" s="12">
        <v>10</v>
      </c>
      <c r="X1880" s="33" t="str">
        <f>HYPERLINK("https://www.alpinabook.ru/catalog/book-komiksy-s-konni-zvyezdy-druzhby","ссылка на книгу")</f>
        <v>ссылка на книгу</v>
      </c>
      <c r="Y1880" s="34" t="str">
        <f>HYPERLINK("https://api-enni.alpina.ru/FileCertificateProject/665","https://api-enni.alpina.ru/FileCertificateProject/665")</f>
        <v>https://api-enni.alpina.ru/FileCertificateProject/665</v>
      </c>
      <c r="Z1880" s="13"/>
      <c r="AT1880" s="1">
        <f t="shared" si="355"/>
        <v>0</v>
      </c>
      <c r="AU1880" s="1">
        <f t="shared" si="356"/>
        <v>0</v>
      </c>
      <c r="AV1880" s="1">
        <f t="shared" si="357"/>
        <v>0</v>
      </c>
      <c r="AW1880" s="1">
        <f t="shared" si="358"/>
        <v>0</v>
      </c>
      <c r="AX1880" s="1">
        <f t="shared" si="359"/>
        <v>0</v>
      </c>
    </row>
    <row r="1881" spans="1:50" s="1" customFormat="1" ht="21.95" customHeight="1" outlineLevel="3" x14ac:dyDescent="0.2">
      <c r="A1881" s="11"/>
      <c r="B1881" s="12">
        <v>390</v>
      </c>
      <c r="C1881" s="12">
        <v>640</v>
      </c>
      <c r="D1881" s="12">
        <v>27430</v>
      </c>
      <c r="E1881" s="13" t="s">
        <v>6145</v>
      </c>
      <c r="F1881" s="13" t="s">
        <v>6161</v>
      </c>
      <c r="G1881" s="13" t="s">
        <v>163</v>
      </c>
      <c r="H1881" s="13" t="s">
        <v>164</v>
      </c>
      <c r="I1881" s="12">
        <v>2023</v>
      </c>
      <c r="J1881" s="13" t="s">
        <v>6162</v>
      </c>
      <c r="K1881" s="12">
        <v>9785961484977</v>
      </c>
      <c r="L1881" s="13" t="s">
        <v>6163</v>
      </c>
      <c r="M1881" s="12">
        <v>72</v>
      </c>
      <c r="N1881" s="14">
        <v>0.28000000000000003</v>
      </c>
      <c r="O1881" s="12">
        <v>170</v>
      </c>
      <c r="P1881" s="12">
        <v>240</v>
      </c>
      <c r="Q1881" s="12">
        <v>15</v>
      </c>
      <c r="R1881" s="13" t="s">
        <v>94</v>
      </c>
      <c r="S1881" s="13" t="s">
        <v>5509</v>
      </c>
      <c r="T1881" s="15">
        <v>3000</v>
      </c>
      <c r="U1881" s="13" t="s">
        <v>52</v>
      </c>
      <c r="V1881" s="13" t="s">
        <v>64</v>
      </c>
      <c r="W1881" s="12">
        <v>10</v>
      </c>
      <c r="X1881" s="33" t="str">
        <f>HYPERLINK("https://www.alpinabook.ru/catalog/book-komiksy-s-konni-novichok-na-konyushne","ссылка на книгу")</f>
        <v>ссылка на книгу</v>
      </c>
      <c r="Y1881" s="34" t="str">
        <f>HYPERLINK("","")</f>
        <v/>
      </c>
      <c r="Z1881" s="13"/>
      <c r="AT1881" s="1">
        <f t="shared" si="355"/>
        <v>0</v>
      </c>
      <c r="AU1881" s="1">
        <f t="shared" si="356"/>
        <v>0</v>
      </c>
      <c r="AV1881" s="1">
        <f t="shared" si="357"/>
        <v>0</v>
      </c>
      <c r="AW1881" s="1">
        <f t="shared" si="358"/>
        <v>0</v>
      </c>
      <c r="AX1881" s="1">
        <f t="shared" si="359"/>
        <v>0</v>
      </c>
    </row>
    <row r="1882" spans="1:50" s="1" customFormat="1" ht="24.95" customHeight="1" outlineLevel="3" x14ac:dyDescent="0.2">
      <c r="A1882" s="11"/>
      <c r="B1882" s="12">
        <v>390</v>
      </c>
      <c r="C1882" s="12">
        <v>640</v>
      </c>
      <c r="D1882" s="12">
        <v>27562</v>
      </c>
      <c r="E1882" s="13" t="s">
        <v>6145</v>
      </c>
      <c r="F1882" s="13" t="s">
        <v>6164</v>
      </c>
      <c r="G1882" s="13" t="s">
        <v>163</v>
      </c>
      <c r="H1882" s="13" t="s">
        <v>164</v>
      </c>
      <c r="I1882" s="12">
        <v>2023</v>
      </c>
      <c r="J1882" s="13" t="s">
        <v>6165</v>
      </c>
      <c r="K1882" s="12">
        <v>9785961485646</v>
      </c>
      <c r="L1882" s="13" t="s">
        <v>6166</v>
      </c>
      <c r="M1882" s="12">
        <v>72</v>
      </c>
      <c r="N1882" s="14">
        <v>0.28000000000000003</v>
      </c>
      <c r="O1882" s="12">
        <v>170</v>
      </c>
      <c r="P1882" s="12">
        <v>250</v>
      </c>
      <c r="Q1882" s="12">
        <v>15</v>
      </c>
      <c r="R1882" s="13" t="s">
        <v>94</v>
      </c>
      <c r="S1882" s="13" t="s">
        <v>5509</v>
      </c>
      <c r="T1882" s="15">
        <v>3000</v>
      </c>
      <c r="U1882" s="13" t="s">
        <v>52</v>
      </c>
      <c r="V1882" s="13" t="s">
        <v>64</v>
      </c>
      <c r="W1882" s="12">
        <v>10</v>
      </c>
      <c r="X1882" s="33" t="str">
        <f>HYPERLINK("https://www.alpinabook.ru/catalog/book-komiksy-s-konni-poslanie-v-butylke","ссылка на книгу")</f>
        <v>ссылка на книгу</v>
      </c>
      <c r="Y1882" s="34" t="str">
        <f>HYPERLINK("https://api-enni.alpina.ru/FileCertificateProject/666","https://api-enni.alpina.ru/FileCertificateProject/666")</f>
        <v>https://api-enni.alpina.ru/FileCertificateProject/666</v>
      </c>
      <c r="Z1882" s="13"/>
      <c r="AT1882" s="1">
        <f t="shared" si="355"/>
        <v>0</v>
      </c>
      <c r="AU1882" s="1">
        <f t="shared" si="356"/>
        <v>0</v>
      </c>
      <c r="AV1882" s="1">
        <f t="shared" si="357"/>
        <v>0</v>
      </c>
      <c r="AW1882" s="1">
        <f t="shared" si="358"/>
        <v>0</v>
      </c>
      <c r="AX1882" s="1">
        <f t="shared" si="359"/>
        <v>0</v>
      </c>
    </row>
    <row r="1883" spans="1:50" s="1" customFormat="1" ht="24.95" customHeight="1" outlineLevel="3" x14ac:dyDescent="0.2">
      <c r="A1883" s="11"/>
      <c r="B1883" s="12">
        <v>390</v>
      </c>
      <c r="C1883" s="12">
        <v>640</v>
      </c>
      <c r="D1883" s="12">
        <v>27563</v>
      </c>
      <c r="E1883" s="13" t="s">
        <v>6145</v>
      </c>
      <c r="F1883" s="13" t="s">
        <v>6167</v>
      </c>
      <c r="G1883" s="13" t="s">
        <v>163</v>
      </c>
      <c r="H1883" s="13" t="s">
        <v>164</v>
      </c>
      <c r="I1883" s="12">
        <v>2023</v>
      </c>
      <c r="J1883" s="13" t="s">
        <v>6168</v>
      </c>
      <c r="K1883" s="12">
        <v>9785961485653</v>
      </c>
      <c r="L1883" s="13" t="s">
        <v>6169</v>
      </c>
      <c r="M1883" s="12">
        <v>72</v>
      </c>
      <c r="N1883" s="14">
        <v>0.28000000000000003</v>
      </c>
      <c r="O1883" s="12">
        <v>170</v>
      </c>
      <c r="P1883" s="12">
        <v>240</v>
      </c>
      <c r="Q1883" s="12">
        <v>15</v>
      </c>
      <c r="R1883" s="13" t="s">
        <v>94</v>
      </c>
      <c r="S1883" s="13" t="s">
        <v>5509</v>
      </c>
      <c r="T1883" s="15">
        <v>3000</v>
      </c>
      <c r="U1883" s="13" t="s">
        <v>52</v>
      </c>
      <c r="V1883" s="13" t="s">
        <v>64</v>
      </c>
      <c r="W1883" s="12">
        <v>10</v>
      </c>
      <c r="X1883" s="33" t="str">
        <f>HYPERLINK("https://www.alpinabook.ru/catalog/book-komiksy-s-konni-priklyucheniya-na-ferme","ссылка на книгу")</f>
        <v>ссылка на книгу</v>
      </c>
      <c r="Y1883" s="34" t="str">
        <f>HYPERLINK("https://api-enni.alpina.ru/FileCertificateProject/667","https://api-enni.alpina.ru/FileCertificateProject/667")</f>
        <v>https://api-enni.alpina.ru/FileCertificateProject/667</v>
      </c>
      <c r="Z1883" s="13"/>
      <c r="AT1883" s="1">
        <f t="shared" si="355"/>
        <v>0</v>
      </c>
      <c r="AU1883" s="1">
        <f t="shared" si="356"/>
        <v>0</v>
      </c>
      <c r="AV1883" s="1">
        <f t="shared" si="357"/>
        <v>0</v>
      </c>
      <c r="AW1883" s="1">
        <f t="shared" si="358"/>
        <v>0</v>
      </c>
      <c r="AX1883" s="1">
        <f t="shared" si="359"/>
        <v>0</v>
      </c>
    </row>
    <row r="1884" spans="1:50" s="1" customFormat="1" ht="24.95" customHeight="1" outlineLevel="3" x14ac:dyDescent="0.2">
      <c r="A1884" s="11"/>
      <c r="B1884" s="12">
        <v>440</v>
      </c>
      <c r="C1884" s="12">
        <v>690</v>
      </c>
      <c r="D1884" s="12">
        <v>30990</v>
      </c>
      <c r="E1884" s="13" t="s">
        <v>5505</v>
      </c>
      <c r="F1884" s="13" t="s">
        <v>6170</v>
      </c>
      <c r="G1884" s="13" t="s">
        <v>163</v>
      </c>
      <c r="H1884" s="13" t="s">
        <v>164</v>
      </c>
      <c r="I1884" s="12">
        <v>2024</v>
      </c>
      <c r="J1884" s="13" t="s">
        <v>6171</v>
      </c>
      <c r="K1884" s="12">
        <v>9785961497144</v>
      </c>
      <c r="L1884" s="13" t="s">
        <v>6172</v>
      </c>
      <c r="M1884" s="12">
        <v>30</v>
      </c>
      <c r="N1884" s="14">
        <v>0.18</v>
      </c>
      <c r="O1884" s="12">
        <v>190</v>
      </c>
      <c r="P1884" s="12">
        <v>180</v>
      </c>
      <c r="Q1884" s="12">
        <v>20</v>
      </c>
      <c r="R1884" s="13" t="s">
        <v>100</v>
      </c>
      <c r="S1884" s="13" t="s">
        <v>5509</v>
      </c>
      <c r="T1884" s="15">
        <v>2000</v>
      </c>
      <c r="U1884" s="13" t="s">
        <v>52</v>
      </c>
      <c r="V1884" s="13" t="s">
        <v>64</v>
      </c>
      <c r="W1884" s="12">
        <v>10</v>
      </c>
      <c r="X1884" s="33" t="str">
        <f>HYPERLINK("https://www.alpinabook.ru/catalog/book-konni-v-gostyakh-u-babushki-s-dedushkoy","ссылка на книгу")</f>
        <v>ссылка на книгу</v>
      </c>
      <c r="Y1884" s="34" t="str">
        <f>HYPERLINK("https://api-enni.alpina.ru/FileCertificateProject/330","https://api-enni.alpina.ru/FileCertificateProject/330")</f>
        <v>https://api-enni.alpina.ru/FileCertificateProject/330</v>
      </c>
      <c r="Z1884" s="13"/>
      <c r="AT1884" s="1">
        <f t="shared" si="355"/>
        <v>0</v>
      </c>
      <c r="AU1884" s="1">
        <f t="shared" si="356"/>
        <v>0</v>
      </c>
      <c r="AV1884" s="1">
        <f t="shared" si="357"/>
        <v>0</v>
      </c>
      <c r="AW1884" s="1">
        <f t="shared" si="358"/>
        <v>0</v>
      </c>
      <c r="AX1884" s="1">
        <f t="shared" si="359"/>
        <v>0</v>
      </c>
    </row>
    <row r="1885" spans="1:50" s="1" customFormat="1" ht="21.95" customHeight="1" outlineLevel="3" x14ac:dyDescent="0.2">
      <c r="A1885" s="11"/>
      <c r="B1885" s="12">
        <v>990</v>
      </c>
      <c r="C1885" s="12">
        <v>990</v>
      </c>
      <c r="D1885" s="12">
        <v>22554</v>
      </c>
      <c r="E1885" s="13" t="s">
        <v>5505</v>
      </c>
      <c r="F1885" s="13" t="s">
        <v>6173</v>
      </c>
      <c r="G1885" s="13" t="s">
        <v>163</v>
      </c>
      <c r="H1885" s="13" t="s">
        <v>164</v>
      </c>
      <c r="I1885" s="12">
        <v>2025</v>
      </c>
      <c r="J1885" s="13" t="s">
        <v>6174</v>
      </c>
      <c r="K1885" s="12">
        <v>9785961454260</v>
      </c>
      <c r="L1885" s="13" t="s">
        <v>6175</v>
      </c>
      <c r="M1885" s="12">
        <v>14</v>
      </c>
      <c r="N1885" s="14">
        <v>0.4</v>
      </c>
      <c r="O1885" s="12">
        <v>230</v>
      </c>
      <c r="P1885" s="12">
        <v>250</v>
      </c>
      <c r="Q1885" s="12">
        <v>5</v>
      </c>
      <c r="R1885" s="13" t="s">
        <v>300</v>
      </c>
      <c r="S1885" s="13" t="s">
        <v>5509</v>
      </c>
      <c r="T1885" s="15">
        <v>2500</v>
      </c>
      <c r="U1885" s="13" t="s">
        <v>52</v>
      </c>
      <c r="V1885" s="13" t="s">
        <v>64</v>
      </c>
      <c r="W1885" s="12">
        <v>10</v>
      </c>
      <c r="X1885" s="33" t="str">
        <f>HYPERLINK("","ссылка на книгу")</f>
        <v>ссылка на книгу</v>
      </c>
      <c r="Y1885" s="34" t="str">
        <f>HYPERLINK("","")</f>
        <v/>
      </c>
      <c r="Z1885" s="13" t="s">
        <v>65</v>
      </c>
      <c r="AT1885" s="1">
        <f t="shared" si="355"/>
        <v>0</v>
      </c>
      <c r="AU1885" s="1">
        <f t="shared" si="356"/>
        <v>0</v>
      </c>
      <c r="AV1885" s="1">
        <f t="shared" si="357"/>
        <v>0</v>
      </c>
      <c r="AW1885" s="1">
        <f t="shared" si="358"/>
        <v>0</v>
      </c>
      <c r="AX1885" s="1">
        <f t="shared" si="359"/>
        <v>0</v>
      </c>
    </row>
    <row r="1886" spans="1:50" s="1" customFormat="1" ht="24.95" customHeight="1" outlineLevel="3" x14ac:dyDescent="0.2">
      <c r="A1886" s="11"/>
      <c r="B1886" s="12">
        <v>590</v>
      </c>
      <c r="C1886" s="12">
        <v>840</v>
      </c>
      <c r="D1886" s="12">
        <v>31329</v>
      </c>
      <c r="E1886" s="13" t="s">
        <v>6145</v>
      </c>
      <c r="F1886" s="13" t="s">
        <v>6176</v>
      </c>
      <c r="G1886" s="13" t="s">
        <v>163</v>
      </c>
      <c r="H1886" s="13" t="s">
        <v>164</v>
      </c>
      <c r="I1886" s="12">
        <v>2024</v>
      </c>
      <c r="J1886" s="13" t="s">
        <v>6177</v>
      </c>
      <c r="K1886" s="12">
        <v>9785961498240</v>
      </c>
      <c r="L1886" s="13" t="s">
        <v>6178</v>
      </c>
      <c r="M1886" s="12">
        <v>128</v>
      </c>
      <c r="N1886" s="14">
        <v>0.26</v>
      </c>
      <c r="O1886" s="12">
        <v>130</v>
      </c>
      <c r="P1886" s="12">
        <v>210</v>
      </c>
      <c r="Q1886" s="12">
        <v>20</v>
      </c>
      <c r="R1886" s="13" t="s">
        <v>82</v>
      </c>
      <c r="S1886" s="13" t="s">
        <v>5509</v>
      </c>
      <c r="T1886" s="15">
        <v>1000</v>
      </c>
      <c r="U1886" s="13" t="s">
        <v>52</v>
      </c>
      <c r="V1886" s="13" t="s">
        <v>269</v>
      </c>
      <c r="W1886" s="12">
        <v>10</v>
      </c>
      <c r="X1886" s="33" t="str">
        <f>HYPERLINK("https://www.alpinabook.ru/catalog/book-konni-v-letnem-lagere","ссылка на книгу")</f>
        <v>ссылка на книгу</v>
      </c>
      <c r="Y1886" s="34" t="str">
        <f>HYPERLINK("https://api-enni.alpina.ru/FileCertificateProject/574","https://api-enni.alpina.ru/FileCertificateProject/574")</f>
        <v>https://api-enni.alpina.ru/FileCertificateProject/574</v>
      </c>
      <c r="Z1886" s="13"/>
      <c r="AT1886" s="1">
        <f t="shared" si="355"/>
        <v>0</v>
      </c>
      <c r="AU1886" s="1">
        <f t="shared" si="356"/>
        <v>0</v>
      </c>
      <c r="AV1886" s="1">
        <f t="shared" si="357"/>
        <v>0</v>
      </c>
      <c r="AW1886" s="1">
        <f t="shared" si="358"/>
        <v>0</v>
      </c>
      <c r="AX1886" s="1">
        <f t="shared" si="359"/>
        <v>0</v>
      </c>
    </row>
    <row r="1887" spans="1:50" s="1" customFormat="1" ht="24.95" customHeight="1" outlineLevel="3" x14ac:dyDescent="0.2">
      <c r="A1887" s="11"/>
      <c r="B1887" s="12">
        <v>690</v>
      </c>
      <c r="C1887" s="12">
        <v>990</v>
      </c>
      <c r="D1887" s="12">
        <v>22555</v>
      </c>
      <c r="E1887" s="13" t="s">
        <v>5505</v>
      </c>
      <c r="F1887" s="13" t="s">
        <v>6179</v>
      </c>
      <c r="G1887" s="13" t="s">
        <v>163</v>
      </c>
      <c r="H1887" s="13" t="s">
        <v>164</v>
      </c>
      <c r="I1887" s="12">
        <v>2021</v>
      </c>
      <c r="J1887" s="13" t="s">
        <v>6180</v>
      </c>
      <c r="K1887" s="12">
        <v>9785961454406</v>
      </c>
      <c r="L1887" s="13" t="s">
        <v>6181</v>
      </c>
      <c r="M1887" s="12">
        <v>16</v>
      </c>
      <c r="N1887" s="14">
        <v>0.4</v>
      </c>
      <c r="O1887" s="12">
        <v>225</v>
      </c>
      <c r="P1887" s="12">
        <v>246</v>
      </c>
      <c r="Q1887" s="12">
        <v>34</v>
      </c>
      <c r="R1887" s="13" t="s">
        <v>300</v>
      </c>
      <c r="S1887" s="13" t="s">
        <v>5509</v>
      </c>
      <c r="T1887" s="15">
        <v>5000</v>
      </c>
      <c r="U1887" s="13" t="s">
        <v>52</v>
      </c>
      <c r="V1887" s="13" t="s">
        <v>64</v>
      </c>
      <c r="W1887" s="12">
        <v>10</v>
      </c>
      <c r="X1887" s="33" t="str">
        <f>HYPERLINK("https://www.alpinabook.ru/catalog/book-705478","ссылка на книгу")</f>
        <v>ссылка на книгу</v>
      </c>
      <c r="Y1887" s="34" t="str">
        <f>HYPERLINK("https://api-enni.alpina.ru/FileCertificateProject/659","https://api-enni.alpina.ru/FileCertificateProject/659")</f>
        <v>https://api-enni.alpina.ru/FileCertificateProject/659</v>
      </c>
      <c r="Z1887" s="13"/>
      <c r="AT1887" s="1">
        <f t="shared" si="355"/>
        <v>0</v>
      </c>
      <c r="AU1887" s="1">
        <f t="shared" si="356"/>
        <v>0</v>
      </c>
      <c r="AV1887" s="1">
        <f t="shared" si="357"/>
        <v>0</v>
      </c>
      <c r="AW1887" s="1">
        <f t="shared" si="358"/>
        <v>0</v>
      </c>
      <c r="AX1887" s="1">
        <f t="shared" si="359"/>
        <v>0</v>
      </c>
    </row>
    <row r="1888" spans="1:50" s="1" customFormat="1" ht="24.95" customHeight="1" outlineLevel="3" x14ac:dyDescent="0.2">
      <c r="A1888" s="11"/>
      <c r="B1888" s="12">
        <v>440</v>
      </c>
      <c r="C1888" s="12">
        <v>690</v>
      </c>
      <c r="D1888" s="12">
        <v>30138</v>
      </c>
      <c r="E1888" s="13" t="s">
        <v>5505</v>
      </c>
      <c r="F1888" s="13" t="s">
        <v>6182</v>
      </c>
      <c r="G1888" s="13" t="s">
        <v>163</v>
      </c>
      <c r="H1888" s="13" t="s">
        <v>164</v>
      </c>
      <c r="I1888" s="12">
        <v>2024</v>
      </c>
      <c r="J1888" s="13" t="s">
        <v>6183</v>
      </c>
      <c r="K1888" s="12">
        <v>9785961494846</v>
      </c>
      <c r="L1888" s="13" t="s">
        <v>6184</v>
      </c>
      <c r="M1888" s="12">
        <v>30</v>
      </c>
      <c r="N1888" s="14">
        <v>0.17</v>
      </c>
      <c r="O1888" s="12">
        <v>180</v>
      </c>
      <c r="P1888" s="12">
        <v>180</v>
      </c>
      <c r="Q1888" s="12">
        <v>20</v>
      </c>
      <c r="R1888" s="13" t="s">
        <v>100</v>
      </c>
      <c r="S1888" s="13" t="s">
        <v>5509</v>
      </c>
      <c r="T1888" s="15">
        <v>2000</v>
      </c>
      <c r="U1888" s="13" t="s">
        <v>52</v>
      </c>
      <c r="V1888" s="13" t="s">
        <v>64</v>
      </c>
      <c r="W1888" s="12">
        <v>10</v>
      </c>
      <c r="X1888" s="33" t="str">
        <f>HYPERLINK("https://www.alpinabook.ru/catalog/book-konni-gotovit-pitstsu","ссылка на книгу")</f>
        <v>ссылка на книгу</v>
      </c>
      <c r="Y1888" s="34" t="str">
        <f>HYPERLINK("https://api-enni.alpina.ru/FileCertificateProject/487","https://api-enni.alpina.ru/FileCertificateProject/487")</f>
        <v>https://api-enni.alpina.ru/FileCertificateProject/487</v>
      </c>
      <c r="Z1888" s="13"/>
      <c r="AT1888" s="1">
        <f t="shared" si="355"/>
        <v>0</v>
      </c>
      <c r="AU1888" s="1">
        <f t="shared" si="356"/>
        <v>0</v>
      </c>
      <c r="AV1888" s="1">
        <f t="shared" si="357"/>
        <v>0</v>
      </c>
      <c r="AW1888" s="1">
        <f t="shared" si="358"/>
        <v>0</v>
      </c>
      <c r="AX1888" s="1">
        <f t="shared" si="359"/>
        <v>0</v>
      </c>
    </row>
    <row r="1889" spans="1:50" s="1" customFormat="1" ht="24.95" customHeight="1" outlineLevel="3" x14ac:dyDescent="0.2">
      <c r="A1889" s="11"/>
      <c r="B1889" s="12">
        <v>360</v>
      </c>
      <c r="C1889" s="12">
        <v>590</v>
      </c>
      <c r="D1889" s="12">
        <v>23632</v>
      </c>
      <c r="E1889" s="13" t="s">
        <v>5505</v>
      </c>
      <c r="F1889" s="13" t="s">
        <v>6185</v>
      </c>
      <c r="G1889" s="13" t="s">
        <v>163</v>
      </c>
      <c r="H1889" s="13" t="s">
        <v>164</v>
      </c>
      <c r="I1889" s="12">
        <v>2021</v>
      </c>
      <c r="J1889" s="13" t="s">
        <v>6186</v>
      </c>
      <c r="K1889" s="12">
        <v>9785961473223</v>
      </c>
      <c r="L1889" s="13" t="s">
        <v>6187</v>
      </c>
      <c r="M1889" s="12">
        <v>32</v>
      </c>
      <c r="N1889" s="14">
        <v>0.25</v>
      </c>
      <c r="O1889" s="12">
        <v>206</v>
      </c>
      <c r="P1889" s="12">
        <v>206</v>
      </c>
      <c r="Q1889" s="12">
        <v>16</v>
      </c>
      <c r="R1889" s="13" t="s">
        <v>167</v>
      </c>
      <c r="S1889" s="13" t="s">
        <v>5509</v>
      </c>
      <c r="T1889" s="15">
        <v>5000</v>
      </c>
      <c r="U1889" s="13" t="s">
        <v>52</v>
      </c>
      <c r="V1889" s="13" t="s">
        <v>64</v>
      </c>
      <c r="W1889" s="12">
        <v>10</v>
      </c>
      <c r="X1889" s="33" t="str">
        <f>HYPERLINK("https://www.alpinabook.ru/catalog/book-konni-delaet-pechene","ссылка на книгу")</f>
        <v>ссылка на книгу</v>
      </c>
      <c r="Y1889" s="34" t="str">
        <f>HYPERLINK("https://api-enni.alpina.ru/FileCertificateProject/193","https://api-enni.alpina.ru/FileCertificateProject/193")</f>
        <v>https://api-enni.alpina.ru/FileCertificateProject/193</v>
      </c>
      <c r="Z1889" s="13"/>
      <c r="AT1889" s="1">
        <f t="shared" ref="AT1889:AT1920" si="360">IF($A1889&lt;&gt;0,1,0)</f>
        <v>0</v>
      </c>
      <c r="AU1889" s="1">
        <f t="shared" ref="AU1889:AU1920" si="361">$A1889*$B1889</f>
        <v>0</v>
      </c>
      <c r="AV1889" s="1">
        <f t="shared" ref="AV1889:AV1920" si="362">$A1889*$N1889</f>
        <v>0</v>
      </c>
      <c r="AW1889" s="1">
        <f t="shared" ref="AW1889:AW1920" si="363">IF($Q1889=0,0,INT($A1889/$Q1889))</f>
        <v>0</v>
      </c>
      <c r="AX1889" s="1">
        <f t="shared" ref="AX1889:AX1920" si="364">$A1889-$AW1889*$Q1889</f>
        <v>0</v>
      </c>
    </row>
    <row r="1890" spans="1:50" s="1" customFormat="1" ht="24.95" customHeight="1" outlineLevel="3" x14ac:dyDescent="0.2">
      <c r="A1890" s="11"/>
      <c r="B1890" s="12">
        <v>490</v>
      </c>
      <c r="C1890" s="12">
        <v>740</v>
      </c>
      <c r="D1890" s="12">
        <v>33104</v>
      </c>
      <c r="E1890" s="13" t="s">
        <v>5505</v>
      </c>
      <c r="F1890" s="13" t="s">
        <v>6185</v>
      </c>
      <c r="G1890" s="13" t="s">
        <v>163</v>
      </c>
      <c r="H1890" s="13" t="s">
        <v>164</v>
      </c>
      <c r="I1890" s="12">
        <v>2025</v>
      </c>
      <c r="J1890" s="13" t="s">
        <v>6188</v>
      </c>
      <c r="K1890" s="12">
        <v>9785006300835</v>
      </c>
      <c r="L1890" s="13" t="s">
        <v>6189</v>
      </c>
      <c r="M1890" s="12">
        <v>32</v>
      </c>
      <c r="N1890" s="14">
        <v>0.18</v>
      </c>
      <c r="O1890" s="12">
        <v>190</v>
      </c>
      <c r="P1890" s="12">
        <v>180</v>
      </c>
      <c r="Q1890" s="12">
        <v>20</v>
      </c>
      <c r="R1890" s="13" t="s">
        <v>100</v>
      </c>
      <c r="S1890" s="13" t="s">
        <v>5509</v>
      </c>
      <c r="T1890" s="15">
        <v>1500</v>
      </c>
      <c r="U1890" s="13" t="s">
        <v>52</v>
      </c>
      <c r="V1890" s="13" t="s">
        <v>64</v>
      </c>
      <c r="W1890" s="12">
        <v>10</v>
      </c>
      <c r="X1890" s="33" t="str">
        <f>HYPERLINK("https://www.alpinabook.ru/catalog/book-konni-delaet-pechene","ссылка на книгу")</f>
        <v>ссылка на книгу</v>
      </c>
      <c r="Y1890" s="34" t="str">
        <f>HYPERLINK("https://api-enni.alpina.ru/FileCertificateProject/193","https://api-enni.alpina.ru/FileCertificateProject/193")</f>
        <v>https://api-enni.alpina.ru/FileCertificateProject/193</v>
      </c>
      <c r="Z1890" s="13" t="s">
        <v>1312</v>
      </c>
      <c r="AT1890" s="1">
        <f t="shared" si="360"/>
        <v>0</v>
      </c>
      <c r="AU1890" s="1">
        <f t="shared" si="361"/>
        <v>0</v>
      </c>
      <c r="AV1890" s="1">
        <f t="shared" si="362"/>
        <v>0</v>
      </c>
      <c r="AW1890" s="1">
        <f t="shared" si="363"/>
        <v>0</v>
      </c>
      <c r="AX1890" s="1">
        <f t="shared" si="364"/>
        <v>0</v>
      </c>
    </row>
    <row r="1891" spans="1:50" s="1" customFormat="1" ht="24.95" customHeight="1" outlineLevel="3" x14ac:dyDescent="0.2">
      <c r="A1891" s="11"/>
      <c r="B1891" s="12">
        <v>360</v>
      </c>
      <c r="C1891" s="12">
        <v>590</v>
      </c>
      <c r="D1891" s="12">
        <v>23470</v>
      </c>
      <c r="E1891" s="13" t="s">
        <v>5505</v>
      </c>
      <c r="F1891" s="13" t="s">
        <v>6190</v>
      </c>
      <c r="G1891" s="13" t="s">
        <v>163</v>
      </c>
      <c r="H1891" s="13" t="s">
        <v>164</v>
      </c>
      <c r="I1891" s="12">
        <v>2021</v>
      </c>
      <c r="J1891" s="13" t="s">
        <v>6191</v>
      </c>
      <c r="K1891" s="12">
        <v>9785961472745</v>
      </c>
      <c r="L1891" s="13" t="s">
        <v>6192</v>
      </c>
      <c r="M1891" s="12">
        <v>32</v>
      </c>
      <c r="N1891" s="14">
        <v>0.26</v>
      </c>
      <c r="O1891" s="12">
        <v>206</v>
      </c>
      <c r="P1891" s="12">
        <v>206</v>
      </c>
      <c r="Q1891" s="12">
        <v>16</v>
      </c>
      <c r="R1891" s="13" t="s">
        <v>167</v>
      </c>
      <c r="S1891" s="13" t="s">
        <v>5509</v>
      </c>
      <c r="T1891" s="15">
        <v>5000</v>
      </c>
      <c r="U1891" s="13" t="s">
        <v>52</v>
      </c>
      <c r="V1891" s="13" t="s">
        <v>64</v>
      </c>
      <c r="W1891" s="12">
        <v>10</v>
      </c>
      <c r="X1891" s="33" t="str">
        <f>HYPERLINK("https://www.alpinabook.ru/catalog/book-719680","ссылка на книгу")</f>
        <v>ссылка на книгу</v>
      </c>
      <c r="Y1891" s="34" t="str">
        <f>HYPERLINK("https://api-enni.alpina.ru/FileCertificateProject/747","https://api-enni.alpina.ru/FileCertificateProject/747")</f>
        <v>https://api-enni.alpina.ru/FileCertificateProject/747</v>
      </c>
      <c r="Z1891" s="13"/>
      <c r="AT1891" s="1">
        <f t="shared" si="360"/>
        <v>0</v>
      </c>
      <c r="AU1891" s="1">
        <f t="shared" si="361"/>
        <v>0</v>
      </c>
      <c r="AV1891" s="1">
        <f t="shared" si="362"/>
        <v>0</v>
      </c>
      <c r="AW1891" s="1">
        <f t="shared" si="363"/>
        <v>0</v>
      </c>
      <c r="AX1891" s="1">
        <f t="shared" si="364"/>
        <v>0</v>
      </c>
    </row>
    <row r="1892" spans="1:50" s="1" customFormat="1" ht="24.95" customHeight="1" outlineLevel="3" x14ac:dyDescent="0.2">
      <c r="A1892" s="11"/>
      <c r="B1892" s="12">
        <v>340</v>
      </c>
      <c r="C1892" s="12">
        <v>340</v>
      </c>
      <c r="D1892" s="12">
        <v>25838</v>
      </c>
      <c r="E1892" s="13" t="s">
        <v>5505</v>
      </c>
      <c r="F1892" s="13" t="s">
        <v>6193</v>
      </c>
      <c r="G1892" s="13" t="s">
        <v>163</v>
      </c>
      <c r="H1892" s="13" t="s">
        <v>164</v>
      </c>
      <c r="I1892" s="12">
        <v>2022</v>
      </c>
      <c r="J1892" s="13" t="s">
        <v>6194</v>
      </c>
      <c r="K1892" s="12">
        <v>9785961478693</v>
      </c>
      <c r="L1892" s="13" t="s">
        <v>6195</v>
      </c>
      <c r="M1892" s="12">
        <v>32</v>
      </c>
      <c r="N1892" s="14">
        <v>0.3</v>
      </c>
      <c r="O1892" s="12">
        <v>206</v>
      </c>
      <c r="P1892" s="12">
        <v>207</v>
      </c>
      <c r="Q1892" s="12">
        <v>18</v>
      </c>
      <c r="R1892" s="13" t="s">
        <v>167</v>
      </c>
      <c r="S1892" s="13" t="s">
        <v>5509</v>
      </c>
      <c r="T1892" s="15">
        <v>5000</v>
      </c>
      <c r="U1892" s="13" t="s">
        <v>52</v>
      </c>
      <c r="V1892" s="13" t="s">
        <v>64</v>
      </c>
      <c r="W1892" s="12">
        <v>10</v>
      </c>
      <c r="X1892" s="33" t="str">
        <f>HYPERLINK("https://www.alpinabook.ru/catalog/book-konni-edet-na-ekskursiyu","ссылка на книгу")</f>
        <v>ссылка на книгу</v>
      </c>
      <c r="Y1892" s="34" t="str">
        <f>HYPERLINK("https://api-enni.alpina.ru/FileCertificateProject/569","https://api-enni.alpina.ru/FileCertificateProject/569")</f>
        <v>https://api-enni.alpina.ru/FileCertificateProject/569</v>
      </c>
      <c r="Z1892" s="13"/>
      <c r="AT1892" s="1">
        <f t="shared" si="360"/>
        <v>0</v>
      </c>
      <c r="AU1892" s="1">
        <f t="shared" si="361"/>
        <v>0</v>
      </c>
      <c r="AV1892" s="1">
        <f t="shared" si="362"/>
        <v>0</v>
      </c>
      <c r="AW1892" s="1">
        <f t="shared" si="363"/>
        <v>0</v>
      </c>
      <c r="AX1892" s="1">
        <f t="shared" si="364"/>
        <v>0</v>
      </c>
    </row>
    <row r="1893" spans="1:50" s="1" customFormat="1" ht="24.95" customHeight="1" outlineLevel="3" x14ac:dyDescent="0.2">
      <c r="A1893" s="11"/>
      <c r="B1893" s="12">
        <v>360</v>
      </c>
      <c r="C1893" s="12">
        <v>590</v>
      </c>
      <c r="D1893" s="12">
        <v>28537</v>
      </c>
      <c r="E1893" s="13" t="s">
        <v>5505</v>
      </c>
      <c r="F1893" s="13" t="s">
        <v>6196</v>
      </c>
      <c r="G1893" s="13" t="s">
        <v>163</v>
      </c>
      <c r="H1893" s="13" t="s">
        <v>164</v>
      </c>
      <c r="I1893" s="12">
        <v>2023</v>
      </c>
      <c r="J1893" s="13" t="s">
        <v>6197</v>
      </c>
      <c r="K1893" s="12">
        <v>9785961489309</v>
      </c>
      <c r="L1893" s="13" t="s">
        <v>6198</v>
      </c>
      <c r="M1893" s="12">
        <v>30</v>
      </c>
      <c r="N1893" s="14">
        <v>0.15</v>
      </c>
      <c r="O1893" s="12">
        <v>180</v>
      </c>
      <c r="P1893" s="12">
        <v>190</v>
      </c>
      <c r="Q1893" s="12">
        <v>30</v>
      </c>
      <c r="R1893" s="13" t="s">
        <v>100</v>
      </c>
      <c r="S1893" s="13" t="s">
        <v>5509</v>
      </c>
      <c r="T1893" s="15">
        <v>2000</v>
      </c>
      <c r="U1893" s="13" t="s">
        <v>52</v>
      </c>
      <c r="V1893" s="13" t="s">
        <v>64</v>
      </c>
      <c r="W1893" s="12">
        <v>10</v>
      </c>
      <c r="X1893" s="33" t="str">
        <f>HYPERLINK("https://www.alpinabook.ru/catalog/book-konni-edet-otdykhat","ссылка на книгу")</f>
        <v>ссылка на книгу</v>
      </c>
      <c r="Y1893" s="34" t="str">
        <f>HYPERLINK("https://api-enni.alpina.ru/FileCertificateProject/331","https://api-enni.alpina.ru/FileCertificateProject/331")</f>
        <v>https://api-enni.alpina.ru/FileCertificateProject/331</v>
      </c>
      <c r="Z1893" s="13"/>
      <c r="AT1893" s="1">
        <f t="shared" si="360"/>
        <v>0</v>
      </c>
      <c r="AU1893" s="1">
        <f t="shared" si="361"/>
        <v>0</v>
      </c>
      <c r="AV1893" s="1">
        <f t="shared" si="362"/>
        <v>0</v>
      </c>
      <c r="AW1893" s="1">
        <f t="shared" si="363"/>
        <v>0</v>
      </c>
      <c r="AX1893" s="1">
        <f t="shared" si="364"/>
        <v>0</v>
      </c>
    </row>
    <row r="1894" spans="1:50" s="1" customFormat="1" ht="24.95" customHeight="1" outlineLevel="3" x14ac:dyDescent="0.2">
      <c r="A1894" s="11"/>
      <c r="B1894" s="12">
        <v>440</v>
      </c>
      <c r="C1894" s="12">
        <v>690</v>
      </c>
      <c r="D1894" s="12">
        <v>30014</v>
      </c>
      <c r="E1894" s="13" t="s">
        <v>5505</v>
      </c>
      <c r="F1894" s="13" t="s">
        <v>6199</v>
      </c>
      <c r="G1894" s="13" t="s">
        <v>163</v>
      </c>
      <c r="H1894" s="13" t="s">
        <v>164</v>
      </c>
      <c r="I1894" s="12">
        <v>2024</v>
      </c>
      <c r="J1894" s="13" t="s">
        <v>6200</v>
      </c>
      <c r="K1894" s="12">
        <v>9785961494549</v>
      </c>
      <c r="L1894" s="13" t="s">
        <v>6201</v>
      </c>
      <c r="M1894" s="12">
        <v>28</v>
      </c>
      <c r="N1894" s="14">
        <v>0.17</v>
      </c>
      <c r="O1894" s="12">
        <v>180</v>
      </c>
      <c r="P1894" s="12">
        <v>190</v>
      </c>
      <c r="Q1894" s="12">
        <v>20</v>
      </c>
      <c r="R1894" s="13" t="s">
        <v>100</v>
      </c>
      <c r="S1894" s="13" t="s">
        <v>5509</v>
      </c>
      <c r="T1894" s="15">
        <v>1500</v>
      </c>
      <c r="U1894" s="13" t="s">
        <v>52</v>
      </c>
      <c r="V1894" s="13" t="s">
        <v>64</v>
      </c>
      <c r="W1894" s="12">
        <v>10</v>
      </c>
      <c r="X1894" s="33" t="str">
        <f>HYPERLINK("https://www.alpinabook.ru/catalog/book-konni-zabolela","ссылка на книгу")</f>
        <v>ссылка на книгу</v>
      </c>
      <c r="Y1894" s="34" t="str">
        <f>HYPERLINK("https://api-enni.alpina.ru/FileCertificateProject/514","https://api-enni.alpina.ru/FileCertificateProject/514")</f>
        <v>https://api-enni.alpina.ru/FileCertificateProject/514</v>
      </c>
      <c r="Z1894" s="13"/>
      <c r="AT1894" s="1">
        <f t="shared" si="360"/>
        <v>0</v>
      </c>
      <c r="AU1894" s="1">
        <f t="shared" si="361"/>
        <v>0</v>
      </c>
      <c r="AV1894" s="1">
        <f t="shared" si="362"/>
        <v>0</v>
      </c>
      <c r="AW1894" s="1">
        <f t="shared" si="363"/>
        <v>0</v>
      </c>
      <c r="AX1894" s="1">
        <f t="shared" si="364"/>
        <v>0</v>
      </c>
    </row>
    <row r="1895" spans="1:50" s="1" customFormat="1" ht="21.95" customHeight="1" outlineLevel="3" x14ac:dyDescent="0.2">
      <c r="A1895" s="11"/>
      <c r="B1895" s="12">
        <v>490</v>
      </c>
      <c r="C1895" s="12">
        <v>740</v>
      </c>
      <c r="D1895" s="12">
        <v>31284</v>
      </c>
      <c r="E1895" s="13" t="s">
        <v>5505</v>
      </c>
      <c r="F1895" s="13" t="s">
        <v>6202</v>
      </c>
      <c r="G1895" s="13" t="s">
        <v>163</v>
      </c>
      <c r="H1895" s="13" t="s">
        <v>164</v>
      </c>
      <c r="I1895" s="12">
        <v>2025</v>
      </c>
      <c r="J1895" s="13" t="s">
        <v>6203</v>
      </c>
      <c r="K1895" s="12">
        <v>9785961498080</v>
      </c>
      <c r="L1895" s="13" t="s">
        <v>6204</v>
      </c>
      <c r="M1895" s="12">
        <v>32</v>
      </c>
      <c r="N1895" s="14">
        <v>0.18</v>
      </c>
      <c r="O1895" s="12">
        <v>190</v>
      </c>
      <c r="P1895" s="12">
        <v>180</v>
      </c>
      <c r="Q1895" s="12">
        <v>20</v>
      </c>
      <c r="R1895" s="13" t="s">
        <v>100</v>
      </c>
      <c r="S1895" s="13" t="s">
        <v>5509</v>
      </c>
      <c r="T1895" s="15">
        <v>3000</v>
      </c>
      <c r="U1895" s="13" t="s">
        <v>52</v>
      </c>
      <c r="V1895" s="13" t="s">
        <v>64</v>
      </c>
      <c r="W1895" s="12">
        <v>10</v>
      </c>
      <c r="X1895" s="33" t="str">
        <f>HYPERLINK("https://www.alpinabook.ru/catalog/book-konni-zabotitsya-o-bratike","ссылка на книгу")</f>
        <v>ссылка на книгу</v>
      </c>
      <c r="Y1895" s="34" t="str">
        <f>HYPERLINK("","")</f>
        <v/>
      </c>
      <c r="Z1895" s="13" t="s">
        <v>4062</v>
      </c>
      <c r="AT1895" s="1">
        <f t="shared" si="360"/>
        <v>0</v>
      </c>
      <c r="AU1895" s="1">
        <f t="shared" si="361"/>
        <v>0</v>
      </c>
      <c r="AV1895" s="1">
        <f t="shared" si="362"/>
        <v>0</v>
      </c>
      <c r="AW1895" s="1">
        <f t="shared" si="363"/>
        <v>0</v>
      </c>
      <c r="AX1895" s="1">
        <f t="shared" si="364"/>
        <v>0</v>
      </c>
    </row>
    <row r="1896" spans="1:50" s="1" customFormat="1" ht="24.95" customHeight="1" outlineLevel="3" x14ac:dyDescent="0.2">
      <c r="A1896" s="11"/>
      <c r="B1896" s="12">
        <v>360</v>
      </c>
      <c r="C1896" s="12">
        <v>590</v>
      </c>
      <c r="D1896" s="12">
        <v>22542</v>
      </c>
      <c r="E1896" s="13" t="s">
        <v>5505</v>
      </c>
      <c r="F1896" s="13" t="s">
        <v>6205</v>
      </c>
      <c r="G1896" s="13" t="s">
        <v>163</v>
      </c>
      <c r="H1896" s="13" t="s">
        <v>164</v>
      </c>
      <c r="I1896" s="12">
        <v>2022</v>
      </c>
      <c r="J1896" s="13" t="s">
        <v>6206</v>
      </c>
      <c r="K1896" s="12">
        <v>9785961452822</v>
      </c>
      <c r="L1896" s="13" t="s">
        <v>6207</v>
      </c>
      <c r="M1896" s="12">
        <v>30</v>
      </c>
      <c r="N1896" s="14">
        <v>0.17</v>
      </c>
      <c r="O1896" s="12">
        <v>206</v>
      </c>
      <c r="P1896" s="12">
        <v>207</v>
      </c>
      <c r="Q1896" s="12">
        <v>18</v>
      </c>
      <c r="R1896" s="13" t="s">
        <v>167</v>
      </c>
      <c r="S1896" s="13" t="s">
        <v>5509</v>
      </c>
      <c r="T1896" s="15">
        <v>3000</v>
      </c>
      <c r="U1896" s="13" t="s">
        <v>52</v>
      </c>
      <c r="V1896" s="13" t="s">
        <v>64</v>
      </c>
      <c r="W1896" s="12">
        <v>10</v>
      </c>
      <c r="X1896" s="33" t="str">
        <f>HYPERLINK("https://www.alpinabook.ru/catalog/book-konni-zanimaetsya-muzykoy","ссылка на книгу")</f>
        <v>ссылка на книгу</v>
      </c>
      <c r="Y1896" s="34" t="str">
        <f>HYPERLINK("https://api-enni.alpina.ru/FileCertificateProject/746","https://api-enni.alpina.ru/FileCertificateProject/746")</f>
        <v>https://api-enni.alpina.ru/FileCertificateProject/746</v>
      </c>
      <c r="Z1896" s="13"/>
      <c r="AT1896" s="1">
        <f t="shared" si="360"/>
        <v>0</v>
      </c>
      <c r="AU1896" s="1">
        <f t="shared" si="361"/>
        <v>0</v>
      </c>
      <c r="AV1896" s="1">
        <f t="shared" si="362"/>
        <v>0</v>
      </c>
      <c r="AW1896" s="1">
        <f t="shared" si="363"/>
        <v>0</v>
      </c>
      <c r="AX1896" s="1">
        <f t="shared" si="364"/>
        <v>0</v>
      </c>
    </row>
    <row r="1897" spans="1:50" s="1" customFormat="1" ht="24.95" customHeight="1" outlineLevel="3" x14ac:dyDescent="0.2">
      <c r="A1897" s="11"/>
      <c r="B1897" s="12">
        <v>360</v>
      </c>
      <c r="C1897" s="12">
        <v>590</v>
      </c>
      <c r="D1897" s="12">
        <v>25043</v>
      </c>
      <c r="E1897" s="13" t="s">
        <v>5505</v>
      </c>
      <c r="F1897" s="13" t="s">
        <v>6208</v>
      </c>
      <c r="G1897" s="13" t="s">
        <v>163</v>
      </c>
      <c r="H1897" s="13" t="s">
        <v>164</v>
      </c>
      <c r="I1897" s="12">
        <v>2022</v>
      </c>
      <c r="J1897" s="13" t="s">
        <v>6209</v>
      </c>
      <c r="K1897" s="12">
        <v>9785961476699</v>
      </c>
      <c r="L1897" s="13" t="s">
        <v>6210</v>
      </c>
      <c r="M1897" s="12">
        <v>32</v>
      </c>
      <c r="N1897" s="14">
        <v>0.27</v>
      </c>
      <c r="O1897" s="12">
        <v>206</v>
      </c>
      <c r="P1897" s="12">
        <v>207</v>
      </c>
      <c r="Q1897" s="12">
        <v>15</v>
      </c>
      <c r="R1897" s="13" t="s">
        <v>167</v>
      </c>
      <c r="S1897" s="13" t="s">
        <v>5509</v>
      </c>
      <c r="T1897" s="15">
        <v>3000</v>
      </c>
      <c r="U1897" s="13" t="s">
        <v>52</v>
      </c>
      <c r="V1897" s="13" t="s">
        <v>64</v>
      </c>
      <c r="W1897" s="12">
        <v>10</v>
      </c>
      <c r="X1897" s="33" t="str">
        <f>HYPERLINK("https://www.alpinabook.ru/catalog/book-konni-zanimaetsya-sportom","ссылка на книгу")</f>
        <v>ссылка на книгу</v>
      </c>
      <c r="Y1897" s="34" t="str">
        <f>HYPERLINK("https://api-enni.alpina.ru/FileCertificateProject/259","https://api-enni.alpina.ru/FileCertificateProject/259")</f>
        <v>https://api-enni.alpina.ru/FileCertificateProject/259</v>
      </c>
      <c r="Z1897" s="13"/>
      <c r="AT1897" s="1">
        <f t="shared" si="360"/>
        <v>0</v>
      </c>
      <c r="AU1897" s="1">
        <f t="shared" si="361"/>
        <v>0</v>
      </c>
      <c r="AV1897" s="1">
        <f t="shared" si="362"/>
        <v>0</v>
      </c>
      <c r="AW1897" s="1">
        <f t="shared" si="363"/>
        <v>0</v>
      </c>
      <c r="AX1897" s="1">
        <f t="shared" si="364"/>
        <v>0</v>
      </c>
    </row>
    <row r="1898" spans="1:50" s="1" customFormat="1" ht="24.95" customHeight="1" outlineLevel="3" x14ac:dyDescent="0.2">
      <c r="A1898" s="11"/>
      <c r="B1898" s="12">
        <v>360</v>
      </c>
      <c r="C1898" s="12">
        <v>590</v>
      </c>
      <c r="D1898" s="12">
        <v>29242</v>
      </c>
      <c r="E1898" s="13" t="s">
        <v>5505</v>
      </c>
      <c r="F1898" s="13" t="s">
        <v>6211</v>
      </c>
      <c r="G1898" s="13" t="s">
        <v>163</v>
      </c>
      <c r="H1898" s="13" t="s">
        <v>164</v>
      </c>
      <c r="I1898" s="12">
        <v>2024</v>
      </c>
      <c r="J1898" s="13" t="s">
        <v>6212</v>
      </c>
      <c r="K1898" s="12">
        <v>9785961491838</v>
      </c>
      <c r="L1898" s="13" t="s">
        <v>6213</v>
      </c>
      <c r="M1898" s="12">
        <v>30</v>
      </c>
      <c r="N1898" s="14">
        <v>0.18</v>
      </c>
      <c r="O1898" s="12">
        <v>180</v>
      </c>
      <c r="P1898" s="12">
        <v>190</v>
      </c>
      <c r="Q1898" s="12">
        <v>20</v>
      </c>
      <c r="R1898" s="13" t="s">
        <v>100</v>
      </c>
      <c r="S1898" s="13" t="s">
        <v>5509</v>
      </c>
      <c r="T1898" s="15">
        <v>4000</v>
      </c>
      <c r="U1898" s="13" t="s">
        <v>52</v>
      </c>
      <c r="V1898" s="13" t="s">
        <v>64</v>
      </c>
      <c r="W1898" s="12">
        <v>10</v>
      </c>
      <c r="X1898" s="33" t="str">
        <f>HYPERLINK("https://www.alpinabook.ru/catalog/book-konni-zlitsya","ссылка на книгу")</f>
        <v>ссылка на книгу</v>
      </c>
      <c r="Y1898" s="34" t="str">
        <f>HYPERLINK("https://api-enni.alpina.ru/FileCertificateProject/750","https://api-enni.alpina.ru/FileCertificateProject/750")</f>
        <v>https://api-enni.alpina.ru/FileCertificateProject/750</v>
      </c>
      <c r="Z1898" s="13"/>
      <c r="AT1898" s="1">
        <f t="shared" si="360"/>
        <v>0</v>
      </c>
      <c r="AU1898" s="1">
        <f t="shared" si="361"/>
        <v>0</v>
      </c>
      <c r="AV1898" s="1">
        <f t="shared" si="362"/>
        <v>0</v>
      </c>
      <c r="AW1898" s="1">
        <f t="shared" si="363"/>
        <v>0</v>
      </c>
      <c r="AX1898" s="1">
        <f t="shared" si="364"/>
        <v>0</v>
      </c>
    </row>
    <row r="1899" spans="1:50" s="1" customFormat="1" ht="24.95" customHeight="1" outlineLevel="3" x14ac:dyDescent="0.2">
      <c r="A1899" s="11"/>
      <c r="B1899" s="12">
        <v>390</v>
      </c>
      <c r="C1899" s="12">
        <v>390</v>
      </c>
      <c r="D1899" s="12">
        <v>26447</v>
      </c>
      <c r="E1899" s="13" t="s">
        <v>6214</v>
      </c>
      <c r="F1899" s="13" t="s">
        <v>6215</v>
      </c>
      <c r="G1899" s="13" t="s">
        <v>163</v>
      </c>
      <c r="H1899" s="13" t="s">
        <v>164</v>
      </c>
      <c r="I1899" s="12">
        <v>2023</v>
      </c>
      <c r="J1899" s="13" t="s">
        <v>6216</v>
      </c>
      <c r="K1899" s="12">
        <v>9785961481723</v>
      </c>
      <c r="L1899" s="13" t="s">
        <v>6217</v>
      </c>
      <c r="M1899" s="12">
        <v>32</v>
      </c>
      <c r="N1899" s="14">
        <v>0.12</v>
      </c>
      <c r="O1899" s="12">
        <v>190</v>
      </c>
      <c r="P1899" s="12">
        <v>270</v>
      </c>
      <c r="Q1899" s="12">
        <v>30</v>
      </c>
      <c r="R1899" s="13" t="s">
        <v>167</v>
      </c>
      <c r="S1899" s="13" t="s">
        <v>5509</v>
      </c>
      <c r="T1899" s="15">
        <v>2000</v>
      </c>
      <c r="U1899" s="13" t="s">
        <v>44</v>
      </c>
      <c r="V1899" s="13" t="s">
        <v>269</v>
      </c>
      <c r="W1899" s="12">
        <v>10</v>
      </c>
      <c r="X1899" s="33" t="str">
        <f>HYPERLINK("https://www.alpinabook.ru/catalog/book-konni-i-bumazhnye-kukly","ссылка на книгу")</f>
        <v>ссылка на книгу</v>
      </c>
      <c r="Y1899" s="34" t="str">
        <f>HYPERLINK("https://api-enni.alpina.ru/FileCertificateProject/559","https://api-enni.alpina.ru/FileCertificateProject/559")</f>
        <v>https://api-enni.alpina.ru/FileCertificateProject/559</v>
      </c>
      <c r="Z1899" s="13"/>
      <c r="AT1899" s="1">
        <f t="shared" si="360"/>
        <v>0</v>
      </c>
      <c r="AU1899" s="1">
        <f t="shared" si="361"/>
        <v>0</v>
      </c>
      <c r="AV1899" s="1">
        <f t="shared" si="362"/>
        <v>0</v>
      </c>
      <c r="AW1899" s="1">
        <f t="shared" si="363"/>
        <v>0</v>
      </c>
      <c r="AX1899" s="1">
        <f t="shared" si="364"/>
        <v>0</v>
      </c>
    </row>
    <row r="1900" spans="1:50" s="1" customFormat="1" ht="24.95" customHeight="1" outlineLevel="3" x14ac:dyDescent="0.2">
      <c r="A1900" s="11"/>
      <c r="B1900" s="12">
        <v>360</v>
      </c>
      <c r="C1900" s="12">
        <v>360</v>
      </c>
      <c r="D1900" s="12">
        <v>25044</v>
      </c>
      <c r="E1900" s="13" t="s">
        <v>5505</v>
      </c>
      <c r="F1900" s="13" t="s">
        <v>6218</v>
      </c>
      <c r="G1900" s="13" t="s">
        <v>163</v>
      </c>
      <c r="H1900" s="13" t="s">
        <v>164</v>
      </c>
      <c r="I1900" s="12">
        <v>2022</v>
      </c>
      <c r="J1900" s="13" t="s">
        <v>6219</v>
      </c>
      <c r="K1900" s="12">
        <v>9785961476705</v>
      </c>
      <c r="L1900" s="13" t="s">
        <v>6220</v>
      </c>
      <c r="M1900" s="12">
        <v>32</v>
      </c>
      <c r="N1900" s="14">
        <v>0.3</v>
      </c>
      <c r="O1900" s="12">
        <v>206</v>
      </c>
      <c r="P1900" s="12">
        <v>207</v>
      </c>
      <c r="Q1900" s="12">
        <v>18</v>
      </c>
      <c r="R1900" s="13" t="s">
        <v>167</v>
      </c>
      <c r="S1900" s="13" t="s">
        <v>5509</v>
      </c>
      <c r="T1900" s="15">
        <v>5000</v>
      </c>
      <c r="U1900" s="13" t="s">
        <v>52</v>
      </c>
      <c r="V1900" s="13" t="s">
        <v>64</v>
      </c>
      <c r="W1900" s="12">
        <v>10</v>
      </c>
      <c r="X1900" s="33" t="str">
        <f>HYPERLINK("https://www.alpinabook.ru/catalog/book-konni-i-vshi","ссылка на книгу")</f>
        <v>ссылка на книгу</v>
      </c>
      <c r="Y1900" s="34" t="str">
        <f>HYPERLINK("https://api-enni.alpina.ru/FileCertificateProject/36","https://api-enni.alpina.ru/FileCertificateProject/36")</f>
        <v>https://api-enni.alpina.ru/FileCertificateProject/36</v>
      </c>
      <c r="Z1900" s="13"/>
      <c r="AT1900" s="1">
        <f t="shared" si="360"/>
        <v>0</v>
      </c>
      <c r="AU1900" s="1">
        <f t="shared" si="361"/>
        <v>0</v>
      </c>
      <c r="AV1900" s="1">
        <f t="shared" si="362"/>
        <v>0</v>
      </c>
      <c r="AW1900" s="1">
        <f t="shared" si="363"/>
        <v>0</v>
      </c>
      <c r="AX1900" s="1">
        <f t="shared" si="364"/>
        <v>0</v>
      </c>
    </row>
    <row r="1901" spans="1:50" s="1" customFormat="1" ht="21.95" customHeight="1" outlineLevel="3" x14ac:dyDescent="0.2">
      <c r="A1901" s="11"/>
      <c r="B1901" s="12">
        <v>500</v>
      </c>
      <c r="C1901" s="12">
        <v>740</v>
      </c>
      <c r="D1901" s="12">
        <v>27262</v>
      </c>
      <c r="E1901" s="13" t="s">
        <v>6145</v>
      </c>
      <c r="F1901" s="13" t="s">
        <v>6221</v>
      </c>
      <c r="G1901" s="13" t="s">
        <v>163</v>
      </c>
      <c r="H1901" s="13" t="s">
        <v>164</v>
      </c>
      <c r="I1901" s="12">
        <v>2024</v>
      </c>
      <c r="J1901" s="13" t="s">
        <v>6222</v>
      </c>
      <c r="K1901" s="12">
        <v>9785961484489</v>
      </c>
      <c r="L1901" s="13" t="s">
        <v>6223</v>
      </c>
      <c r="M1901" s="12">
        <v>192</v>
      </c>
      <c r="N1901" s="14">
        <v>0.39</v>
      </c>
      <c r="O1901" s="12">
        <v>150</v>
      </c>
      <c r="P1901" s="12">
        <v>220</v>
      </c>
      <c r="Q1901" s="12">
        <v>10</v>
      </c>
      <c r="R1901" s="13" t="s">
        <v>43</v>
      </c>
      <c r="S1901" s="13" t="s">
        <v>5509</v>
      </c>
      <c r="T1901" s="15">
        <v>2000</v>
      </c>
      <c r="U1901" s="13" t="s">
        <v>52</v>
      </c>
      <c r="V1901" s="13" t="s">
        <v>269</v>
      </c>
      <c r="W1901" s="12">
        <v>10</v>
      </c>
      <c r="X1901" s="33" t="str">
        <f>HYPERLINK("https://www.alpinabook.ru/catalog/book-konni-i-druzya-novaya-shkola","ссылка на книгу")</f>
        <v>ссылка на книгу</v>
      </c>
      <c r="Y1901" s="34" t="str">
        <f>HYPERLINK("","")</f>
        <v/>
      </c>
      <c r="Z1901" s="13"/>
      <c r="AT1901" s="1">
        <f t="shared" si="360"/>
        <v>0</v>
      </c>
      <c r="AU1901" s="1">
        <f t="shared" si="361"/>
        <v>0</v>
      </c>
      <c r="AV1901" s="1">
        <f t="shared" si="362"/>
        <v>0</v>
      </c>
      <c r="AW1901" s="1">
        <f t="shared" si="363"/>
        <v>0</v>
      </c>
      <c r="AX1901" s="1">
        <f t="shared" si="364"/>
        <v>0</v>
      </c>
    </row>
    <row r="1902" spans="1:50" s="1" customFormat="1" ht="21.95" customHeight="1" outlineLevel="3" x14ac:dyDescent="0.2">
      <c r="A1902" s="11"/>
      <c r="B1902" s="12">
        <v>500</v>
      </c>
      <c r="C1902" s="12">
        <v>740</v>
      </c>
      <c r="D1902" s="12">
        <v>27263</v>
      </c>
      <c r="E1902" s="13" t="s">
        <v>6224</v>
      </c>
      <c r="F1902" s="13" t="s">
        <v>6225</v>
      </c>
      <c r="G1902" s="13" t="s">
        <v>163</v>
      </c>
      <c r="H1902" s="13" t="s">
        <v>164</v>
      </c>
      <c r="I1902" s="12">
        <v>2023</v>
      </c>
      <c r="J1902" s="13" t="s">
        <v>6226</v>
      </c>
      <c r="K1902" s="12">
        <v>9785961484496</v>
      </c>
      <c r="L1902" s="13" t="s">
        <v>6227</v>
      </c>
      <c r="M1902" s="12">
        <v>200</v>
      </c>
      <c r="N1902" s="14">
        <v>0.4</v>
      </c>
      <c r="O1902" s="12">
        <v>150</v>
      </c>
      <c r="P1902" s="12">
        <v>220</v>
      </c>
      <c r="Q1902" s="12">
        <v>16</v>
      </c>
      <c r="R1902" s="13" t="s">
        <v>43</v>
      </c>
      <c r="S1902" s="13" t="s">
        <v>5509</v>
      </c>
      <c r="T1902" s="15">
        <v>3000</v>
      </c>
      <c r="U1902" s="13" t="s">
        <v>52</v>
      </c>
      <c r="V1902" s="13" t="s">
        <v>269</v>
      </c>
      <c r="W1902" s="12">
        <v>10</v>
      </c>
      <c r="X1902" s="33" t="str">
        <f>HYPERLINK("https://www.alpinabook.ru/catalog/book-konni-i-druzya-novichok-v-klasse","ссылка на книгу")</f>
        <v>ссылка на книгу</v>
      </c>
      <c r="Y1902" s="34" t="str">
        <f>HYPERLINK("","")</f>
        <v/>
      </c>
      <c r="Z1902" s="13"/>
      <c r="AT1902" s="1">
        <f t="shared" si="360"/>
        <v>0</v>
      </c>
      <c r="AU1902" s="1">
        <f t="shared" si="361"/>
        <v>0</v>
      </c>
      <c r="AV1902" s="1">
        <f t="shared" si="362"/>
        <v>0</v>
      </c>
      <c r="AW1902" s="1">
        <f t="shared" si="363"/>
        <v>0</v>
      </c>
      <c r="AX1902" s="1">
        <f t="shared" si="364"/>
        <v>0</v>
      </c>
    </row>
    <row r="1903" spans="1:50" s="1" customFormat="1" ht="24.95" customHeight="1" outlineLevel="3" x14ac:dyDescent="0.2">
      <c r="A1903" s="11"/>
      <c r="B1903" s="12">
        <v>500</v>
      </c>
      <c r="C1903" s="12">
        <v>740</v>
      </c>
      <c r="D1903" s="12">
        <v>29325</v>
      </c>
      <c r="E1903" s="13" t="s">
        <v>6224</v>
      </c>
      <c r="F1903" s="13" t="s">
        <v>6228</v>
      </c>
      <c r="G1903" s="13" t="s">
        <v>163</v>
      </c>
      <c r="H1903" s="13" t="s">
        <v>164</v>
      </c>
      <c r="I1903" s="12">
        <v>2024</v>
      </c>
      <c r="J1903" s="13" t="s">
        <v>6229</v>
      </c>
      <c r="K1903" s="12">
        <v>9785961492286</v>
      </c>
      <c r="L1903" s="13" t="s">
        <v>6230</v>
      </c>
      <c r="M1903" s="12">
        <v>192</v>
      </c>
      <c r="N1903" s="14">
        <v>0.39</v>
      </c>
      <c r="O1903" s="12">
        <v>150</v>
      </c>
      <c r="P1903" s="12">
        <v>220</v>
      </c>
      <c r="Q1903" s="12">
        <v>16</v>
      </c>
      <c r="R1903" s="13" t="s">
        <v>43</v>
      </c>
      <c r="S1903" s="13" t="s">
        <v>5509</v>
      </c>
      <c r="T1903" s="15">
        <v>2000</v>
      </c>
      <c r="U1903" s="13" t="s">
        <v>52</v>
      </c>
      <c r="V1903" s="13" t="s">
        <v>269</v>
      </c>
      <c r="W1903" s="12">
        <v>10</v>
      </c>
      <c r="X1903" s="33" t="str">
        <f>HYPERLINK("https://www.alpinabook.ru/catalog/book-konni-i-druzya-shkolnaya-vecherinka","ссылка на книгу")</f>
        <v>ссылка на книгу</v>
      </c>
      <c r="Y1903" s="34" t="str">
        <f>HYPERLINK("https://api-enni.alpina.ru/FileCertificateProject/402","https://api-enni.alpina.ru/FileCertificateProject/402")</f>
        <v>https://api-enni.alpina.ru/FileCertificateProject/402</v>
      </c>
      <c r="Z1903" s="13"/>
      <c r="AT1903" s="1">
        <f t="shared" si="360"/>
        <v>0</v>
      </c>
      <c r="AU1903" s="1">
        <f t="shared" si="361"/>
        <v>0</v>
      </c>
      <c r="AV1903" s="1">
        <f t="shared" si="362"/>
        <v>0</v>
      </c>
      <c r="AW1903" s="1">
        <f t="shared" si="363"/>
        <v>0</v>
      </c>
      <c r="AX1903" s="1">
        <f t="shared" si="364"/>
        <v>0</v>
      </c>
    </row>
    <row r="1904" spans="1:50" s="1" customFormat="1" ht="21.95" customHeight="1" outlineLevel="3" x14ac:dyDescent="0.2">
      <c r="A1904" s="11"/>
      <c r="B1904" s="12">
        <v>500</v>
      </c>
      <c r="C1904" s="12">
        <v>740</v>
      </c>
      <c r="D1904" s="12">
        <v>27264</v>
      </c>
      <c r="E1904" s="13" t="s">
        <v>6145</v>
      </c>
      <c r="F1904" s="13" t="s">
        <v>6231</v>
      </c>
      <c r="G1904" s="13" t="s">
        <v>163</v>
      </c>
      <c r="H1904" s="13" t="s">
        <v>164</v>
      </c>
      <c r="I1904" s="12">
        <v>2023</v>
      </c>
      <c r="J1904" s="13" t="s">
        <v>6232</v>
      </c>
      <c r="K1904" s="12">
        <v>9785961484502</v>
      </c>
      <c r="L1904" s="13" t="s">
        <v>6233</v>
      </c>
      <c r="M1904" s="12">
        <v>216</v>
      </c>
      <c r="N1904" s="14">
        <v>0.43</v>
      </c>
      <c r="O1904" s="12">
        <v>150</v>
      </c>
      <c r="P1904" s="12">
        <v>220</v>
      </c>
      <c r="Q1904" s="12">
        <v>16</v>
      </c>
      <c r="R1904" s="13" t="s">
        <v>43</v>
      </c>
      <c r="S1904" s="13" t="s">
        <v>5509</v>
      </c>
      <c r="T1904" s="15">
        <v>3000</v>
      </c>
      <c r="U1904" s="13" t="s">
        <v>52</v>
      </c>
      <c r="V1904" s="13" t="s">
        <v>269</v>
      </c>
      <c r="W1904" s="12">
        <v>10</v>
      </c>
      <c r="X1904" s="33" t="str">
        <f>HYPERLINK("https://www.alpinabook.ru/catalog/book-konni-i-druzya-shkolnitsa-po-obmenu","ссылка на книгу")</f>
        <v>ссылка на книгу</v>
      </c>
      <c r="Y1904" s="34" t="str">
        <f>HYPERLINK("","")</f>
        <v/>
      </c>
      <c r="Z1904" s="13"/>
      <c r="AT1904" s="1">
        <f t="shared" si="360"/>
        <v>0</v>
      </c>
      <c r="AU1904" s="1">
        <f t="shared" si="361"/>
        <v>0</v>
      </c>
      <c r="AV1904" s="1">
        <f t="shared" si="362"/>
        <v>0</v>
      </c>
      <c r="AW1904" s="1">
        <f t="shared" si="363"/>
        <v>0</v>
      </c>
      <c r="AX1904" s="1">
        <f t="shared" si="364"/>
        <v>0</v>
      </c>
    </row>
    <row r="1905" spans="1:50" s="1" customFormat="1" ht="21.95" customHeight="1" outlineLevel="3" x14ac:dyDescent="0.2">
      <c r="A1905" s="11"/>
      <c r="B1905" s="12">
        <v>490</v>
      </c>
      <c r="C1905" s="12">
        <v>740</v>
      </c>
      <c r="D1905" s="12">
        <v>33411</v>
      </c>
      <c r="E1905" s="13" t="s">
        <v>5505</v>
      </c>
      <c r="F1905" s="13" t="s">
        <v>6234</v>
      </c>
      <c r="G1905" s="13" t="s">
        <v>163</v>
      </c>
      <c r="H1905" s="13" t="s">
        <v>164</v>
      </c>
      <c r="I1905" s="12">
        <v>2025</v>
      </c>
      <c r="J1905" s="13" t="s">
        <v>6235</v>
      </c>
      <c r="K1905" s="12">
        <v>9785006304659</v>
      </c>
      <c r="L1905" s="13" t="s">
        <v>6236</v>
      </c>
      <c r="M1905" s="12">
        <v>30</v>
      </c>
      <c r="N1905" s="14">
        <v>0.19</v>
      </c>
      <c r="O1905" s="12">
        <v>190</v>
      </c>
      <c r="P1905" s="12">
        <v>180</v>
      </c>
      <c r="Q1905" s="12">
        <v>20</v>
      </c>
      <c r="R1905" s="13" t="s">
        <v>100</v>
      </c>
      <c r="S1905" s="13" t="s">
        <v>5509</v>
      </c>
      <c r="T1905" s="15">
        <v>1500</v>
      </c>
      <c r="U1905" s="13" t="s">
        <v>52</v>
      </c>
      <c r="V1905" s="13" t="s">
        <v>64</v>
      </c>
      <c r="W1905" s="12">
        <v>10</v>
      </c>
      <c r="X1905" s="33" t="str">
        <f>HYPERLINK("https://www.alpinabook.ru/catalog/book-konni-i-zubnaya-feya","ссылка на книгу")</f>
        <v>ссылка на книгу</v>
      </c>
      <c r="Y1905" s="34" t="str">
        <f>HYPERLINK("","")</f>
        <v/>
      </c>
      <c r="Z1905" s="13" t="s">
        <v>77</v>
      </c>
      <c r="AT1905" s="1">
        <f t="shared" si="360"/>
        <v>0</v>
      </c>
      <c r="AU1905" s="1">
        <f t="shared" si="361"/>
        <v>0</v>
      </c>
      <c r="AV1905" s="1">
        <f t="shared" si="362"/>
        <v>0</v>
      </c>
      <c r="AW1905" s="1">
        <f t="shared" si="363"/>
        <v>0</v>
      </c>
      <c r="AX1905" s="1">
        <f t="shared" si="364"/>
        <v>0</v>
      </c>
    </row>
    <row r="1906" spans="1:50" s="1" customFormat="1" ht="24.95" customHeight="1" outlineLevel="3" x14ac:dyDescent="0.2">
      <c r="A1906" s="11"/>
      <c r="B1906" s="12">
        <v>360</v>
      </c>
      <c r="C1906" s="12">
        <v>590</v>
      </c>
      <c r="D1906" s="12">
        <v>11973</v>
      </c>
      <c r="E1906" s="13" t="s">
        <v>5505</v>
      </c>
      <c r="F1906" s="13" t="s">
        <v>6237</v>
      </c>
      <c r="G1906" s="13" t="s">
        <v>163</v>
      </c>
      <c r="H1906" s="13" t="s">
        <v>164</v>
      </c>
      <c r="I1906" s="12">
        <v>2023</v>
      </c>
      <c r="J1906" s="13" t="s">
        <v>6238</v>
      </c>
      <c r="K1906" s="12">
        <v>9785961429404</v>
      </c>
      <c r="L1906" s="13" t="s">
        <v>6239</v>
      </c>
      <c r="M1906" s="12">
        <v>32</v>
      </c>
      <c r="N1906" s="14">
        <v>0.26</v>
      </c>
      <c r="O1906" s="12">
        <v>207</v>
      </c>
      <c r="P1906" s="12">
        <v>207</v>
      </c>
      <c r="Q1906" s="12">
        <v>18</v>
      </c>
      <c r="R1906" s="13" t="s">
        <v>167</v>
      </c>
      <c r="S1906" s="13" t="s">
        <v>5509</v>
      </c>
      <c r="T1906" s="15">
        <v>5000</v>
      </c>
      <c r="U1906" s="13" t="s">
        <v>52</v>
      </c>
      <c r="V1906" s="13" t="s">
        <v>64</v>
      </c>
      <c r="W1906" s="12">
        <v>10</v>
      </c>
      <c r="X1906" s="33" t="str">
        <f>HYPERLINK("https://www.alpinabook.ru/catalog/book-konni-i-karmannye-dengi","ссылка на книгу")</f>
        <v>ссылка на книгу</v>
      </c>
      <c r="Y1906" s="34" t="str">
        <f>HYPERLINK("https://api-enni.alpina.ru/FileCertificateProject/453","https://api-enni.alpina.ru/FileCertificateProject/453")</f>
        <v>https://api-enni.alpina.ru/FileCertificateProject/453</v>
      </c>
      <c r="Z1906" s="13"/>
      <c r="AT1906" s="1">
        <f t="shared" si="360"/>
        <v>0</v>
      </c>
      <c r="AU1906" s="1">
        <f t="shared" si="361"/>
        <v>0</v>
      </c>
      <c r="AV1906" s="1">
        <f t="shared" si="362"/>
        <v>0</v>
      </c>
      <c r="AW1906" s="1">
        <f t="shared" si="363"/>
        <v>0</v>
      </c>
      <c r="AX1906" s="1">
        <f t="shared" si="364"/>
        <v>0</v>
      </c>
    </row>
    <row r="1907" spans="1:50" s="1" customFormat="1" ht="24.95" customHeight="1" outlineLevel="3" x14ac:dyDescent="0.2">
      <c r="A1907" s="11"/>
      <c r="B1907" s="12">
        <v>360</v>
      </c>
      <c r="C1907" s="12">
        <v>590</v>
      </c>
      <c r="D1907" s="12">
        <v>28529</v>
      </c>
      <c r="E1907" s="13" t="s">
        <v>5505</v>
      </c>
      <c r="F1907" s="13" t="s">
        <v>6237</v>
      </c>
      <c r="G1907" s="13" t="s">
        <v>163</v>
      </c>
      <c r="H1907" s="13" t="s">
        <v>164</v>
      </c>
      <c r="I1907" s="12">
        <v>2023</v>
      </c>
      <c r="J1907" s="13" t="s">
        <v>6240</v>
      </c>
      <c r="K1907" s="12">
        <v>9785961489255</v>
      </c>
      <c r="L1907" s="13" t="s">
        <v>6241</v>
      </c>
      <c r="M1907" s="12">
        <v>32</v>
      </c>
      <c r="N1907" s="14">
        <v>0.15</v>
      </c>
      <c r="O1907" s="12">
        <v>180</v>
      </c>
      <c r="P1907" s="12">
        <v>190</v>
      </c>
      <c r="Q1907" s="12">
        <v>40</v>
      </c>
      <c r="R1907" s="13" t="s">
        <v>100</v>
      </c>
      <c r="S1907" s="13" t="s">
        <v>5509</v>
      </c>
      <c r="T1907" s="15">
        <v>2000</v>
      </c>
      <c r="U1907" s="13" t="s">
        <v>52</v>
      </c>
      <c r="V1907" s="13" t="s">
        <v>64</v>
      </c>
      <c r="W1907" s="12">
        <v>10</v>
      </c>
      <c r="X1907" s="33" t="str">
        <f>HYPERLINK("https://www.alpinabook.ru/catalog/book-konni-i-karmannye-dengi","ссылка на книгу")</f>
        <v>ссылка на книгу</v>
      </c>
      <c r="Y1907" s="34" t="str">
        <f>HYPERLINK("https://api-enni.alpina.ru/FileCertificateProject/453","https://api-enni.alpina.ru/FileCertificateProject/453")</f>
        <v>https://api-enni.alpina.ru/FileCertificateProject/453</v>
      </c>
      <c r="Z1907" s="13"/>
      <c r="AT1907" s="1">
        <f t="shared" si="360"/>
        <v>0</v>
      </c>
      <c r="AU1907" s="1">
        <f t="shared" si="361"/>
        <v>0</v>
      </c>
      <c r="AV1907" s="1">
        <f t="shared" si="362"/>
        <v>0</v>
      </c>
      <c r="AW1907" s="1">
        <f t="shared" si="363"/>
        <v>0</v>
      </c>
      <c r="AX1907" s="1">
        <f t="shared" si="364"/>
        <v>0</v>
      </c>
    </row>
    <row r="1908" spans="1:50" s="1" customFormat="1" ht="24.95" customHeight="1" outlineLevel="3" x14ac:dyDescent="0.2">
      <c r="A1908" s="11"/>
      <c r="B1908" s="12">
        <v>360</v>
      </c>
      <c r="C1908" s="12">
        <v>360</v>
      </c>
      <c r="D1908" s="12">
        <v>22553</v>
      </c>
      <c r="E1908" s="13" t="s">
        <v>5505</v>
      </c>
      <c r="F1908" s="13" t="s">
        <v>6242</v>
      </c>
      <c r="G1908" s="13" t="s">
        <v>163</v>
      </c>
      <c r="H1908" s="13" t="s">
        <v>164</v>
      </c>
      <c r="I1908" s="12">
        <v>2021</v>
      </c>
      <c r="J1908" s="13" t="s">
        <v>6243</v>
      </c>
      <c r="K1908" s="12">
        <v>9785961454246</v>
      </c>
      <c r="L1908" s="13" t="s">
        <v>6244</v>
      </c>
      <c r="M1908" s="12">
        <v>30</v>
      </c>
      <c r="N1908" s="14">
        <v>0.26</v>
      </c>
      <c r="O1908" s="12">
        <v>206</v>
      </c>
      <c r="P1908" s="12">
        <v>206</v>
      </c>
      <c r="Q1908" s="12">
        <v>20</v>
      </c>
      <c r="R1908" s="13" t="s">
        <v>167</v>
      </c>
      <c r="S1908" s="13" t="s">
        <v>5509</v>
      </c>
      <c r="T1908" s="15">
        <v>5000</v>
      </c>
      <c r="U1908" s="13" t="s">
        <v>52</v>
      </c>
      <c r="V1908" s="13" t="s">
        <v>64</v>
      </c>
      <c r="W1908" s="12">
        <v>10</v>
      </c>
      <c r="X1908" s="33" t="str">
        <f>HYPERLINK("https://www.alpinabook.ru/catalog/book-716032","ссылка на книгу")</f>
        <v>ссылка на книгу</v>
      </c>
      <c r="Y1908" s="34" t="str">
        <f>HYPERLINK("https://api-enni.alpina.ru/FileCertificateProject/157","https://api-enni.alpina.ru/FileCertificateProject/157")</f>
        <v>https://api-enni.alpina.ru/FileCertificateProject/157</v>
      </c>
      <c r="Z1908" s="13"/>
      <c r="AT1908" s="1">
        <f t="shared" si="360"/>
        <v>0</v>
      </c>
      <c r="AU1908" s="1">
        <f t="shared" si="361"/>
        <v>0</v>
      </c>
      <c r="AV1908" s="1">
        <f t="shared" si="362"/>
        <v>0</v>
      </c>
      <c r="AW1908" s="1">
        <f t="shared" si="363"/>
        <v>0</v>
      </c>
      <c r="AX1908" s="1">
        <f t="shared" si="364"/>
        <v>0</v>
      </c>
    </row>
    <row r="1909" spans="1:50" s="1" customFormat="1" ht="24.95" customHeight="1" outlineLevel="3" x14ac:dyDescent="0.2">
      <c r="A1909" s="11"/>
      <c r="B1909" s="12">
        <v>440</v>
      </c>
      <c r="C1909" s="12">
        <v>690</v>
      </c>
      <c r="D1909" s="12">
        <v>28669</v>
      </c>
      <c r="E1909" s="13" t="s">
        <v>5505</v>
      </c>
      <c r="F1909" s="13" t="s">
        <v>6245</v>
      </c>
      <c r="G1909" s="13" t="s">
        <v>163</v>
      </c>
      <c r="H1909" s="13" t="s">
        <v>164</v>
      </c>
      <c r="I1909" s="12">
        <v>2024</v>
      </c>
      <c r="J1909" s="13" t="s">
        <v>6246</v>
      </c>
      <c r="K1909" s="12">
        <v>9785961489620</v>
      </c>
      <c r="L1909" s="13" t="s">
        <v>6247</v>
      </c>
      <c r="M1909" s="12">
        <v>40</v>
      </c>
      <c r="N1909" s="14">
        <v>0.19</v>
      </c>
      <c r="O1909" s="12">
        <v>180</v>
      </c>
      <c r="P1909" s="12">
        <v>180</v>
      </c>
      <c r="Q1909" s="12">
        <v>30</v>
      </c>
      <c r="R1909" s="13" t="s">
        <v>100</v>
      </c>
      <c r="S1909" s="13" t="s">
        <v>5509</v>
      </c>
      <c r="T1909" s="15">
        <v>3000</v>
      </c>
      <c r="U1909" s="13" t="s">
        <v>52</v>
      </c>
      <c r="V1909" s="13" t="s">
        <v>64</v>
      </c>
      <c r="W1909" s="12">
        <v>10</v>
      </c>
      <c r="X1909" s="33" t="str">
        <f>HYPERLINK("https://www.alpinabook.ru/catalog/book-konni-i-leto","ссылка на книгу")</f>
        <v>ссылка на книгу</v>
      </c>
      <c r="Y1909" s="34" t="str">
        <f>HYPERLINK("https://api-enni.alpina.ru/FileCertificateProject/706","https://api-enni.alpina.ru/FileCertificateProject/706")</f>
        <v>https://api-enni.alpina.ru/FileCertificateProject/706</v>
      </c>
      <c r="Z1909" s="13"/>
      <c r="AT1909" s="1">
        <f t="shared" si="360"/>
        <v>0</v>
      </c>
      <c r="AU1909" s="1">
        <f t="shared" si="361"/>
        <v>0</v>
      </c>
      <c r="AV1909" s="1">
        <f t="shared" si="362"/>
        <v>0</v>
      </c>
      <c r="AW1909" s="1">
        <f t="shared" si="363"/>
        <v>0</v>
      </c>
      <c r="AX1909" s="1">
        <f t="shared" si="364"/>
        <v>0</v>
      </c>
    </row>
    <row r="1910" spans="1:50" s="1" customFormat="1" ht="24.95" customHeight="1" outlineLevel="3" x14ac:dyDescent="0.2">
      <c r="A1910" s="11"/>
      <c r="B1910" s="12">
        <v>440</v>
      </c>
      <c r="C1910" s="12">
        <v>690</v>
      </c>
      <c r="D1910" s="12">
        <v>30989</v>
      </c>
      <c r="E1910" s="13" t="s">
        <v>5505</v>
      </c>
      <c r="F1910" s="13" t="s">
        <v>6248</v>
      </c>
      <c r="G1910" s="13" t="s">
        <v>163</v>
      </c>
      <c r="H1910" s="13" t="s">
        <v>164</v>
      </c>
      <c r="I1910" s="12">
        <v>2024</v>
      </c>
      <c r="J1910" s="13" t="s">
        <v>6249</v>
      </c>
      <c r="K1910" s="12">
        <v>9785961497137</v>
      </c>
      <c r="L1910" s="13" t="s">
        <v>6250</v>
      </c>
      <c r="M1910" s="12">
        <v>32</v>
      </c>
      <c r="N1910" s="14">
        <v>0.18</v>
      </c>
      <c r="O1910" s="12">
        <v>190</v>
      </c>
      <c r="P1910" s="12">
        <v>180</v>
      </c>
      <c r="Q1910" s="12">
        <v>20</v>
      </c>
      <c r="R1910" s="13" t="s">
        <v>100</v>
      </c>
      <c r="S1910" s="13" t="s">
        <v>5509</v>
      </c>
      <c r="T1910" s="15">
        <v>2000</v>
      </c>
      <c r="U1910" s="13" t="s">
        <v>52</v>
      </c>
      <c r="V1910" s="13" t="s">
        <v>64</v>
      </c>
      <c r="W1910" s="12">
        <v>10</v>
      </c>
      <c r="X1910" s="33" t="str">
        <f>HYPERLINK("https://www.alpinabook.ru/catalog/book-konni-i-nepriyatnosti","ссылка на книгу")</f>
        <v>ссылка на книгу</v>
      </c>
      <c r="Y1910" s="34" t="str">
        <f>HYPERLINK("https://api-enni.alpina.ru/FileCertificateProject/515","https://api-enni.alpina.ru/FileCertificateProject/515")</f>
        <v>https://api-enni.alpina.ru/FileCertificateProject/515</v>
      </c>
      <c r="Z1910" s="13"/>
      <c r="AT1910" s="1">
        <f t="shared" si="360"/>
        <v>0</v>
      </c>
      <c r="AU1910" s="1">
        <f t="shared" si="361"/>
        <v>0</v>
      </c>
      <c r="AV1910" s="1">
        <f t="shared" si="362"/>
        <v>0</v>
      </c>
      <c r="AW1910" s="1">
        <f t="shared" si="363"/>
        <v>0</v>
      </c>
      <c r="AX1910" s="1">
        <f t="shared" si="364"/>
        <v>0</v>
      </c>
    </row>
    <row r="1911" spans="1:50" s="1" customFormat="1" ht="24.95" customHeight="1" outlineLevel="3" x14ac:dyDescent="0.2">
      <c r="A1911" s="11"/>
      <c r="B1911" s="12">
        <v>590</v>
      </c>
      <c r="C1911" s="12">
        <v>840</v>
      </c>
      <c r="D1911" s="12">
        <v>31938</v>
      </c>
      <c r="E1911" s="13" t="s">
        <v>6145</v>
      </c>
      <c r="F1911" s="13" t="s">
        <v>6251</v>
      </c>
      <c r="G1911" s="13" t="s">
        <v>163</v>
      </c>
      <c r="H1911" s="13" t="s">
        <v>164</v>
      </c>
      <c r="I1911" s="12">
        <v>2024</v>
      </c>
      <c r="J1911" s="13" t="s">
        <v>6252</v>
      </c>
      <c r="K1911" s="12">
        <v>9785006300668</v>
      </c>
      <c r="L1911" s="13" t="s">
        <v>6253</v>
      </c>
      <c r="M1911" s="12">
        <v>128</v>
      </c>
      <c r="N1911" s="14">
        <v>0.26</v>
      </c>
      <c r="O1911" s="12">
        <v>130</v>
      </c>
      <c r="P1911" s="12">
        <v>210</v>
      </c>
      <c r="Q1911" s="12">
        <v>20</v>
      </c>
      <c r="R1911" s="13" t="s">
        <v>82</v>
      </c>
      <c r="S1911" s="13" t="s">
        <v>5509</v>
      </c>
      <c r="T1911" s="15">
        <v>1000</v>
      </c>
      <c r="U1911" s="13" t="s">
        <v>52</v>
      </c>
      <c r="V1911" s="13" t="s">
        <v>269</v>
      </c>
      <c r="W1911" s="12">
        <v>10</v>
      </c>
      <c r="X1911" s="33" t="str">
        <f>HYPERLINK("https://www.alpinabook.ru/catalog/book-priklyucheniya-konni-noch-v-muzee","ссылка на книгу")</f>
        <v>ссылка на книгу</v>
      </c>
      <c r="Y1911" s="34" t="str">
        <f>HYPERLINK("https://api-enni.alpina.ru/FileCertificateProject/729","https://api-enni.alpina.ru/FileCertificateProject/729")</f>
        <v>https://api-enni.alpina.ru/FileCertificateProject/729</v>
      </c>
      <c r="Z1911" s="13"/>
      <c r="AT1911" s="1">
        <f t="shared" si="360"/>
        <v>0</v>
      </c>
      <c r="AU1911" s="1">
        <f t="shared" si="361"/>
        <v>0</v>
      </c>
      <c r="AV1911" s="1">
        <f t="shared" si="362"/>
        <v>0</v>
      </c>
      <c r="AW1911" s="1">
        <f t="shared" si="363"/>
        <v>0</v>
      </c>
      <c r="AX1911" s="1">
        <f t="shared" si="364"/>
        <v>0</v>
      </c>
    </row>
    <row r="1912" spans="1:50" s="1" customFormat="1" ht="24.95" customHeight="1" outlineLevel="3" x14ac:dyDescent="0.2">
      <c r="A1912" s="11"/>
      <c r="B1912" s="12">
        <v>590</v>
      </c>
      <c r="C1912" s="12">
        <v>840</v>
      </c>
      <c r="D1912" s="12">
        <v>27248</v>
      </c>
      <c r="E1912" s="13" t="s">
        <v>6145</v>
      </c>
      <c r="F1912" s="13" t="s">
        <v>6254</v>
      </c>
      <c r="G1912" s="13" t="s">
        <v>163</v>
      </c>
      <c r="H1912" s="13" t="s">
        <v>164</v>
      </c>
      <c r="I1912" s="12">
        <v>2024</v>
      </c>
      <c r="J1912" s="13" t="s">
        <v>6255</v>
      </c>
      <c r="K1912" s="12">
        <v>9785961484359</v>
      </c>
      <c r="L1912" s="13" t="s">
        <v>6256</v>
      </c>
      <c r="M1912" s="12">
        <v>128</v>
      </c>
      <c r="N1912" s="14">
        <v>0.26</v>
      </c>
      <c r="O1912" s="12">
        <v>130</v>
      </c>
      <c r="P1912" s="12">
        <v>210</v>
      </c>
      <c r="Q1912" s="12">
        <v>20</v>
      </c>
      <c r="R1912" s="13" t="s">
        <v>82</v>
      </c>
      <c r="S1912" s="13" t="s">
        <v>5509</v>
      </c>
      <c r="T1912" s="15">
        <v>2000</v>
      </c>
      <c r="U1912" s="13" t="s">
        <v>52</v>
      </c>
      <c r="V1912" s="13" t="s">
        <v>269</v>
      </c>
      <c r="W1912" s="12">
        <v>10</v>
      </c>
      <c r="X1912" s="33" t="str">
        <f>HYPERLINK("https://www.alpinabook.ru/catalog/book-konni-i-poezdka-na-more","ссылка на книгу")</f>
        <v>ссылка на книгу</v>
      </c>
      <c r="Y1912" s="34" t="str">
        <f>HYPERLINK("https://api-enni.alpina.ru/FileCertificateProject/372","https://api-enni.alpina.ru/FileCertificateProject/372")</f>
        <v>https://api-enni.alpina.ru/FileCertificateProject/372</v>
      </c>
      <c r="Z1912" s="13"/>
      <c r="AT1912" s="1">
        <f t="shared" si="360"/>
        <v>0</v>
      </c>
      <c r="AU1912" s="1">
        <f t="shared" si="361"/>
        <v>0</v>
      </c>
      <c r="AV1912" s="1">
        <f t="shared" si="362"/>
        <v>0</v>
      </c>
      <c r="AW1912" s="1">
        <f t="shared" si="363"/>
        <v>0</v>
      </c>
      <c r="AX1912" s="1">
        <f t="shared" si="364"/>
        <v>0</v>
      </c>
    </row>
    <row r="1913" spans="1:50" s="1" customFormat="1" ht="24.95" customHeight="1" outlineLevel="3" x14ac:dyDescent="0.2">
      <c r="A1913" s="11"/>
      <c r="B1913" s="12">
        <v>590</v>
      </c>
      <c r="C1913" s="12">
        <v>840</v>
      </c>
      <c r="D1913" s="12">
        <v>29639</v>
      </c>
      <c r="E1913" s="13" t="s">
        <v>5505</v>
      </c>
      <c r="F1913" s="13" t="s">
        <v>6257</v>
      </c>
      <c r="G1913" s="13" t="s">
        <v>163</v>
      </c>
      <c r="H1913" s="13" t="s">
        <v>164</v>
      </c>
      <c r="I1913" s="12">
        <v>2024</v>
      </c>
      <c r="J1913" s="13" t="s">
        <v>6258</v>
      </c>
      <c r="K1913" s="12">
        <v>9785961493252</v>
      </c>
      <c r="L1913" s="13" t="s">
        <v>6259</v>
      </c>
      <c r="M1913" s="12">
        <v>192</v>
      </c>
      <c r="N1913" s="14">
        <v>0.22</v>
      </c>
      <c r="O1913" s="12">
        <v>120</v>
      </c>
      <c r="P1913" s="12">
        <v>140</v>
      </c>
      <c r="Q1913" s="12">
        <v>20</v>
      </c>
      <c r="R1913" s="13" t="s">
        <v>82</v>
      </c>
      <c r="S1913" s="13" t="s">
        <v>5509</v>
      </c>
      <c r="T1913" s="15">
        <v>5000</v>
      </c>
      <c r="U1913" s="13" t="s">
        <v>44</v>
      </c>
      <c r="V1913" s="13" t="s">
        <v>64</v>
      </c>
      <c r="W1913" s="12">
        <v>10</v>
      </c>
      <c r="X1913" s="33" t="str">
        <f>HYPERLINK("https://www.alpinabook.ru/catalog/book-konni-i-poleznye-privychki-nabor-iz-6-knig","ссылка на книгу")</f>
        <v>ссылка на книгу</v>
      </c>
      <c r="Y1913" s="34" t="str">
        <f>HYPERLINK("https://api-enni.alpina.ru/FileCertificateProject/592","https://api-enni.alpina.ru/FileCertificateProject/592")</f>
        <v>https://api-enni.alpina.ru/FileCertificateProject/592</v>
      </c>
      <c r="Z1913" s="13"/>
      <c r="AT1913" s="1">
        <f t="shared" si="360"/>
        <v>0</v>
      </c>
      <c r="AU1913" s="1">
        <f t="shared" si="361"/>
        <v>0</v>
      </c>
      <c r="AV1913" s="1">
        <f t="shared" si="362"/>
        <v>0</v>
      </c>
      <c r="AW1913" s="1">
        <f t="shared" si="363"/>
        <v>0</v>
      </c>
      <c r="AX1913" s="1">
        <f t="shared" si="364"/>
        <v>0</v>
      </c>
    </row>
    <row r="1914" spans="1:50" s="1" customFormat="1" ht="24.95" customHeight="1" outlineLevel="3" x14ac:dyDescent="0.2">
      <c r="A1914" s="11"/>
      <c r="B1914" s="12">
        <v>790</v>
      </c>
      <c r="C1914" s="12">
        <v>790</v>
      </c>
      <c r="D1914" s="12">
        <v>23663</v>
      </c>
      <c r="E1914" s="13" t="s">
        <v>5505</v>
      </c>
      <c r="F1914" s="13" t="s">
        <v>6260</v>
      </c>
      <c r="G1914" s="13" t="s">
        <v>163</v>
      </c>
      <c r="H1914" s="13" t="s">
        <v>164</v>
      </c>
      <c r="I1914" s="12">
        <v>2022</v>
      </c>
      <c r="J1914" s="13" t="s">
        <v>6261</v>
      </c>
      <c r="K1914" s="12">
        <v>9785961473728</v>
      </c>
      <c r="L1914" s="13" t="s">
        <v>6262</v>
      </c>
      <c r="M1914" s="12">
        <v>14</v>
      </c>
      <c r="N1914" s="14">
        <v>0.41</v>
      </c>
      <c r="O1914" s="12">
        <v>225</v>
      </c>
      <c r="P1914" s="12">
        <v>246</v>
      </c>
      <c r="Q1914" s="12">
        <v>34</v>
      </c>
      <c r="R1914" s="13" t="s">
        <v>300</v>
      </c>
      <c r="S1914" s="13" t="s">
        <v>5509</v>
      </c>
      <c r="T1914" s="15">
        <v>5000</v>
      </c>
      <c r="U1914" s="13" t="s">
        <v>52</v>
      </c>
      <c r="V1914" s="13" t="s">
        <v>269</v>
      </c>
      <c r="W1914" s="12">
        <v>10</v>
      </c>
      <c r="X1914" s="33" t="str">
        <f>HYPERLINK("https://www.alpinabook.ru/catalog/book-konni-i-pdd","ссылка на книгу")</f>
        <v>ссылка на книгу</v>
      </c>
      <c r="Y1914" s="34" t="str">
        <f>HYPERLINK("https://api-enni.alpina.ru/FileCertificateProject/206","https://api-enni.alpina.ru/FileCertificateProject/206")</f>
        <v>https://api-enni.alpina.ru/FileCertificateProject/206</v>
      </c>
      <c r="Z1914" s="13"/>
      <c r="AT1914" s="1">
        <f t="shared" si="360"/>
        <v>0</v>
      </c>
      <c r="AU1914" s="1">
        <f t="shared" si="361"/>
        <v>0</v>
      </c>
      <c r="AV1914" s="1">
        <f t="shared" si="362"/>
        <v>0</v>
      </c>
      <c r="AW1914" s="1">
        <f t="shared" si="363"/>
        <v>0</v>
      </c>
      <c r="AX1914" s="1">
        <f t="shared" si="364"/>
        <v>0</v>
      </c>
    </row>
    <row r="1915" spans="1:50" s="1" customFormat="1" ht="24.95" customHeight="1" outlineLevel="3" x14ac:dyDescent="0.2">
      <c r="A1915" s="11"/>
      <c r="B1915" s="12">
        <v>390</v>
      </c>
      <c r="C1915" s="12">
        <v>640</v>
      </c>
      <c r="D1915" s="12">
        <v>20621</v>
      </c>
      <c r="E1915" s="13" t="s">
        <v>6145</v>
      </c>
      <c r="F1915" s="13" t="s">
        <v>6263</v>
      </c>
      <c r="G1915" s="13" t="s">
        <v>163</v>
      </c>
      <c r="H1915" s="13" t="s">
        <v>164</v>
      </c>
      <c r="I1915" s="12">
        <v>2023</v>
      </c>
      <c r="J1915" s="13" t="s">
        <v>6264</v>
      </c>
      <c r="K1915" s="12">
        <v>9785961430035</v>
      </c>
      <c r="L1915" s="13" t="s">
        <v>6265</v>
      </c>
      <c r="M1915" s="12">
        <v>104</v>
      </c>
      <c r="N1915" s="14">
        <v>0.23</v>
      </c>
      <c r="O1915" s="12">
        <v>131</v>
      </c>
      <c r="P1915" s="12">
        <v>206</v>
      </c>
      <c r="Q1915" s="12">
        <v>60</v>
      </c>
      <c r="R1915" s="13" t="s">
        <v>82</v>
      </c>
      <c r="S1915" s="13" t="s">
        <v>5509</v>
      </c>
      <c r="T1915" s="15">
        <v>3000</v>
      </c>
      <c r="U1915" s="13" t="s">
        <v>52</v>
      </c>
      <c r="V1915" s="13" t="s">
        <v>269</v>
      </c>
      <c r="W1915" s="12">
        <v>10</v>
      </c>
      <c r="X1915" s="33" t="str">
        <f>HYPERLINK("https://www.alpinabook.ru/catalog/book-konni-i-skelet-dinozavra","ссылка на книгу")</f>
        <v>ссылка на книгу</v>
      </c>
      <c r="Y1915" s="34" t="str">
        <f>HYPERLINK("https://api-enni.alpina.ru/FileCertificateProject/13","https://api-enni.alpina.ru/FileCertificateProject/13")</f>
        <v>https://api-enni.alpina.ru/FileCertificateProject/13</v>
      </c>
      <c r="Z1915" s="13"/>
      <c r="AT1915" s="1">
        <f t="shared" si="360"/>
        <v>0</v>
      </c>
      <c r="AU1915" s="1">
        <f t="shared" si="361"/>
        <v>0</v>
      </c>
      <c r="AV1915" s="1">
        <f t="shared" si="362"/>
        <v>0</v>
      </c>
      <c r="AW1915" s="1">
        <f t="shared" si="363"/>
        <v>0</v>
      </c>
      <c r="AX1915" s="1">
        <f t="shared" si="364"/>
        <v>0</v>
      </c>
    </row>
    <row r="1916" spans="1:50" s="1" customFormat="1" ht="24.95" customHeight="1" outlineLevel="3" x14ac:dyDescent="0.2">
      <c r="A1916" s="11"/>
      <c r="B1916" s="12">
        <v>520</v>
      </c>
      <c r="C1916" s="12">
        <v>790</v>
      </c>
      <c r="D1916" s="12">
        <v>27249</v>
      </c>
      <c r="E1916" s="13" t="s">
        <v>6266</v>
      </c>
      <c r="F1916" s="13" t="s">
        <v>6267</v>
      </c>
      <c r="G1916" s="13" t="s">
        <v>163</v>
      </c>
      <c r="H1916" s="13" t="s">
        <v>164</v>
      </c>
      <c r="I1916" s="12">
        <v>2024</v>
      </c>
      <c r="J1916" s="13" t="s">
        <v>6268</v>
      </c>
      <c r="K1916" s="12">
        <v>9785961484366</v>
      </c>
      <c r="L1916" s="13" t="s">
        <v>6269</v>
      </c>
      <c r="M1916" s="12">
        <v>112</v>
      </c>
      <c r="N1916" s="14">
        <v>0.24</v>
      </c>
      <c r="O1916" s="12">
        <v>140</v>
      </c>
      <c r="P1916" s="12">
        <v>210</v>
      </c>
      <c r="Q1916" s="12">
        <v>22</v>
      </c>
      <c r="R1916" s="13" t="s">
        <v>82</v>
      </c>
      <c r="S1916" s="13" t="s">
        <v>5509</v>
      </c>
      <c r="T1916" s="15">
        <v>2000</v>
      </c>
      <c r="U1916" s="13" t="s">
        <v>52</v>
      </c>
      <c r="V1916" s="13" t="s">
        <v>269</v>
      </c>
      <c r="W1916" s="12">
        <v>10</v>
      </c>
      <c r="X1916" s="33" t="str">
        <f>HYPERLINK("https://www.alpinabook.ru/catalog/book-konni-i-spasenie-dikikh-loshadey","ссылка на книгу")</f>
        <v>ссылка на книгу</v>
      </c>
      <c r="Y1916" s="34" t="str">
        <f>HYPERLINK("https://api-enni.alpina.ru/FileCertificateProject/483","https://api-enni.alpina.ru/FileCertificateProject/483")</f>
        <v>https://api-enni.alpina.ru/FileCertificateProject/483</v>
      </c>
      <c r="Z1916" s="13"/>
      <c r="AT1916" s="1">
        <f t="shared" si="360"/>
        <v>0</v>
      </c>
      <c r="AU1916" s="1">
        <f t="shared" si="361"/>
        <v>0</v>
      </c>
      <c r="AV1916" s="1">
        <f t="shared" si="362"/>
        <v>0</v>
      </c>
      <c r="AW1916" s="1">
        <f t="shared" si="363"/>
        <v>0</v>
      </c>
      <c r="AX1916" s="1">
        <f t="shared" si="364"/>
        <v>0</v>
      </c>
    </row>
    <row r="1917" spans="1:50" s="1" customFormat="1" ht="24.95" customHeight="1" outlineLevel="3" x14ac:dyDescent="0.2">
      <c r="A1917" s="11"/>
      <c r="B1917" s="12">
        <v>360</v>
      </c>
      <c r="C1917" s="12">
        <v>590</v>
      </c>
      <c r="D1917" s="12">
        <v>29321</v>
      </c>
      <c r="E1917" s="13" t="s">
        <v>5505</v>
      </c>
      <c r="F1917" s="13" t="s">
        <v>6270</v>
      </c>
      <c r="G1917" s="13" t="s">
        <v>163</v>
      </c>
      <c r="H1917" s="13" t="s">
        <v>164</v>
      </c>
      <c r="I1917" s="12">
        <v>2024</v>
      </c>
      <c r="J1917" s="13" t="s">
        <v>6271</v>
      </c>
      <c r="K1917" s="12">
        <v>9785961492262</v>
      </c>
      <c r="L1917" s="13" t="s">
        <v>6272</v>
      </c>
      <c r="M1917" s="12">
        <v>32</v>
      </c>
      <c r="N1917" s="14">
        <v>0.19</v>
      </c>
      <c r="O1917" s="12">
        <v>190</v>
      </c>
      <c r="P1917" s="12">
        <v>180</v>
      </c>
      <c r="Q1917" s="12">
        <v>20</v>
      </c>
      <c r="R1917" s="13" t="s">
        <v>100</v>
      </c>
      <c r="S1917" s="13" t="s">
        <v>5509</v>
      </c>
      <c r="T1917" s="15">
        <v>3000</v>
      </c>
      <c r="U1917" s="13" t="s">
        <v>52</v>
      </c>
      <c r="V1917" s="13" t="s">
        <v>64</v>
      </c>
      <c r="W1917" s="12">
        <v>10</v>
      </c>
      <c r="X1917" s="33" t="str">
        <f>HYPERLINK("https://www.alpinabook.ru/catalog/book-konni-i-telo","ссылка на книгу")</f>
        <v>ссылка на книгу</v>
      </c>
      <c r="Y1917" s="34" t="str">
        <f>HYPERLINK("https://api-enni.alpina.ru/FileCertificateProject/524","https://api-enni.alpina.ru/FileCertificateProject/524")</f>
        <v>https://api-enni.alpina.ru/FileCertificateProject/524</v>
      </c>
      <c r="Z1917" s="13"/>
      <c r="AT1917" s="1">
        <f t="shared" si="360"/>
        <v>0</v>
      </c>
      <c r="AU1917" s="1">
        <f t="shared" si="361"/>
        <v>0</v>
      </c>
      <c r="AV1917" s="1">
        <f t="shared" si="362"/>
        <v>0</v>
      </c>
      <c r="AW1917" s="1">
        <f t="shared" si="363"/>
        <v>0</v>
      </c>
      <c r="AX1917" s="1">
        <f t="shared" si="364"/>
        <v>0</v>
      </c>
    </row>
    <row r="1918" spans="1:50" s="1" customFormat="1" ht="24.95" customHeight="1" outlineLevel="3" x14ac:dyDescent="0.2">
      <c r="A1918" s="11"/>
      <c r="B1918" s="12">
        <v>440</v>
      </c>
      <c r="C1918" s="12">
        <v>690</v>
      </c>
      <c r="D1918" s="12">
        <v>29055</v>
      </c>
      <c r="E1918" s="13" t="s">
        <v>5505</v>
      </c>
      <c r="F1918" s="13" t="s">
        <v>6273</v>
      </c>
      <c r="G1918" s="13" t="s">
        <v>163</v>
      </c>
      <c r="H1918" s="13" t="s">
        <v>164</v>
      </c>
      <c r="I1918" s="12">
        <v>2024</v>
      </c>
      <c r="J1918" s="13" t="s">
        <v>6274</v>
      </c>
      <c r="K1918" s="12">
        <v>9785961491241</v>
      </c>
      <c r="L1918" s="13" t="s">
        <v>6275</v>
      </c>
      <c r="M1918" s="12">
        <v>32</v>
      </c>
      <c r="N1918" s="14">
        <v>0.15</v>
      </c>
      <c r="O1918" s="12">
        <v>180</v>
      </c>
      <c r="P1918" s="12">
        <v>190</v>
      </c>
      <c r="Q1918" s="12">
        <v>20</v>
      </c>
      <c r="R1918" s="13" t="s">
        <v>100</v>
      </c>
      <c r="S1918" s="13" t="s">
        <v>5509</v>
      </c>
      <c r="T1918" s="15">
        <v>2000</v>
      </c>
      <c r="U1918" s="13" t="s">
        <v>52</v>
      </c>
      <c r="V1918" s="13" t="s">
        <v>64</v>
      </c>
      <c r="W1918" s="12">
        <v>10</v>
      </c>
      <c r="X1918" s="33" t="str">
        <f>HYPERLINK("https://www.alpinabook.ru/catalog/book-konni-i-khoroshie-manery","ссылка на книгу")</f>
        <v>ссылка на книгу</v>
      </c>
      <c r="Y1918" s="34" t="str">
        <f>HYPERLINK("https://api-enni.alpina.ru/FileCertificateProject/550","https://api-enni.alpina.ru/FileCertificateProject/550")</f>
        <v>https://api-enni.alpina.ru/FileCertificateProject/550</v>
      </c>
      <c r="Z1918" s="13"/>
      <c r="AT1918" s="1">
        <f t="shared" si="360"/>
        <v>0</v>
      </c>
      <c r="AU1918" s="1">
        <f t="shared" si="361"/>
        <v>0</v>
      </c>
      <c r="AV1918" s="1">
        <f t="shared" si="362"/>
        <v>0</v>
      </c>
      <c r="AW1918" s="1">
        <f t="shared" si="363"/>
        <v>0</v>
      </c>
      <c r="AX1918" s="1">
        <f t="shared" si="364"/>
        <v>0</v>
      </c>
    </row>
    <row r="1919" spans="1:50" s="1" customFormat="1" ht="21.95" customHeight="1" outlineLevel="3" x14ac:dyDescent="0.2">
      <c r="A1919" s="11"/>
      <c r="B1919" s="12">
        <v>590</v>
      </c>
      <c r="C1919" s="12">
        <v>840</v>
      </c>
      <c r="D1919" s="12">
        <v>29700</v>
      </c>
      <c r="E1919" s="13" t="s">
        <v>5505</v>
      </c>
      <c r="F1919" s="13" t="s">
        <v>6276</v>
      </c>
      <c r="G1919" s="13" t="s">
        <v>163</v>
      </c>
      <c r="H1919" s="13" t="s">
        <v>164</v>
      </c>
      <c r="I1919" s="12">
        <v>2025</v>
      </c>
      <c r="J1919" s="13" t="s">
        <v>6277</v>
      </c>
      <c r="K1919" s="12">
        <v>9785961493504</v>
      </c>
      <c r="L1919" s="13" t="s">
        <v>6278</v>
      </c>
      <c r="M1919" s="12">
        <v>192</v>
      </c>
      <c r="N1919" s="14">
        <v>0.22</v>
      </c>
      <c r="O1919" s="12">
        <v>120</v>
      </c>
      <c r="P1919" s="12">
        <v>140</v>
      </c>
      <c r="Q1919" s="12">
        <v>20</v>
      </c>
      <c r="R1919" s="13" t="s">
        <v>82</v>
      </c>
      <c r="S1919" s="13" t="s">
        <v>5509</v>
      </c>
      <c r="T1919" s="15">
        <v>3000</v>
      </c>
      <c r="U1919" s="13" t="s">
        <v>44</v>
      </c>
      <c r="V1919" s="13" t="s">
        <v>64</v>
      </c>
      <c r="W1919" s="12">
        <v>10</v>
      </c>
      <c r="X1919" s="33" t="str">
        <f>HYPERLINK("https://www.alpinabook.ru/catalog/book-konni-i-emotsii-nabor-iz-6-knig","ссылка на книгу")</f>
        <v>ссылка на книгу</v>
      </c>
      <c r="Y1919" s="34" t="str">
        <f>HYPERLINK("","")</f>
        <v/>
      </c>
      <c r="Z1919" s="13"/>
      <c r="AT1919" s="1">
        <f t="shared" si="360"/>
        <v>0</v>
      </c>
      <c r="AU1919" s="1">
        <f t="shared" si="361"/>
        <v>0</v>
      </c>
      <c r="AV1919" s="1">
        <f t="shared" si="362"/>
        <v>0</v>
      </c>
      <c r="AW1919" s="1">
        <f t="shared" si="363"/>
        <v>0</v>
      </c>
      <c r="AX1919" s="1">
        <f t="shared" si="364"/>
        <v>0</v>
      </c>
    </row>
    <row r="1920" spans="1:50" s="1" customFormat="1" ht="24.95" customHeight="1" outlineLevel="3" x14ac:dyDescent="0.2">
      <c r="A1920" s="11"/>
      <c r="B1920" s="12">
        <v>440</v>
      </c>
      <c r="C1920" s="12">
        <v>690</v>
      </c>
      <c r="D1920" s="12">
        <v>30179</v>
      </c>
      <c r="E1920" s="13" t="s">
        <v>5505</v>
      </c>
      <c r="F1920" s="13" t="s">
        <v>6279</v>
      </c>
      <c r="G1920" s="13" t="s">
        <v>163</v>
      </c>
      <c r="H1920" s="13" t="s">
        <v>164</v>
      </c>
      <c r="I1920" s="12">
        <v>2024</v>
      </c>
      <c r="J1920" s="13" t="s">
        <v>6280</v>
      </c>
      <c r="K1920" s="12">
        <v>9785961494990</v>
      </c>
      <c r="L1920" s="13" t="s">
        <v>6281</v>
      </c>
      <c r="M1920" s="12">
        <v>32</v>
      </c>
      <c r="N1920" s="14">
        <v>0.17</v>
      </c>
      <c r="O1920" s="12">
        <v>180</v>
      </c>
      <c r="P1920" s="12">
        <v>180</v>
      </c>
      <c r="Q1920" s="12">
        <v>20</v>
      </c>
      <c r="R1920" s="13" t="s">
        <v>100</v>
      </c>
      <c r="S1920" s="13" t="s">
        <v>5509</v>
      </c>
      <c r="T1920" s="15">
        <v>3000</v>
      </c>
      <c r="U1920" s="13" t="s">
        <v>52</v>
      </c>
      <c r="V1920" s="13" t="s">
        <v>64</v>
      </c>
      <c r="W1920" s="12">
        <v>10</v>
      </c>
      <c r="X1920" s="33" t="str">
        <f>HYPERLINK("https://www.alpinabook.ru/catalog/book-konni-idyet-v-basseyn","ссылка на книгу")</f>
        <v>ссылка на книгу</v>
      </c>
      <c r="Y1920" s="34" t="str">
        <f>HYPERLINK("https://api-enni.alpina.ru/FileCertificateProject/508","https://api-enni.alpina.ru/FileCertificateProject/508")</f>
        <v>https://api-enni.alpina.ru/FileCertificateProject/508</v>
      </c>
      <c r="Z1920" s="13"/>
      <c r="AT1920" s="1">
        <f t="shared" si="360"/>
        <v>0</v>
      </c>
      <c r="AU1920" s="1">
        <f t="shared" si="361"/>
        <v>0</v>
      </c>
      <c r="AV1920" s="1">
        <f t="shared" si="362"/>
        <v>0</v>
      </c>
      <c r="AW1920" s="1">
        <f t="shared" si="363"/>
        <v>0</v>
      </c>
      <c r="AX1920" s="1">
        <f t="shared" si="364"/>
        <v>0</v>
      </c>
    </row>
    <row r="1921" spans="1:50" s="1" customFormat="1" ht="24.95" customHeight="1" outlineLevel="3" x14ac:dyDescent="0.2">
      <c r="A1921" s="11"/>
      <c r="B1921" s="12">
        <v>440</v>
      </c>
      <c r="C1921" s="12">
        <v>690</v>
      </c>
      <c r="D1921" s="12">
        <v>30988</v>
      </c>
      <c r="E1921" s="13" t="s">
        <v>5505</v>
      </c>
      <c r="F1921" s="13" t="s">
        <v>6282</v>
      </c>
      <c r="G1921" s="13" t="s">
        <v>163</v>
      </c>
      <c r="H1921" s="13" t="s">
        <v>164</v>
      </c>
      <c r="I1921" s="12">
        <v>2024</v>
      </c>
      <c r="J1921" s="13" t="s">
        <v>6283</v>
      </c>
      <c r="K1921" s="12">
        <v>9785961497120</v>
      </c>
      <c r="L1921" s="13" t="s">
        <v>6284</v>
      </c>
      <c r="M1921" s="12">
        <v>30</v>
      </c>
      <c r="N1921" s="14">
        <v>0.18</v>
      </c>
      <c r="O1921" s="12">
        <v>190</v>
      </c>
      <c r="P1921" s="12">
        <v>180</v>
      </c>
      <c r="Q1921" s="12">
        <v>20</v>
      </c>
      <c r="R1921" s="13" t="s">
        <v>100</v>
      </c>
      <c r="S1921" s="13" t="s">
        <v>5509</v>
      </c>
      <c r="T1921" s="15">
        <v>2000</v>
      </c>
      <c r="U1921" s="13" t="s">
        <v>52</v>
      </c>
      <c r="V1921" s="13" t="s">
        <v>64</v>
      </c>
      <c r="W1921" s="12">
        <v>10</v>
      </c>
      <c r="X1921" s="33" t="str">
        <f>HYPERLINK("https://www.alpinabook.ru/catalog/book-konni-idyet-v-zoopark","ссылка на книгу")</f>
        <v>ссылка на книгу</v>
      </c>
      <c r="Y1921" s="34" t="str">
        <f>HYPERLINK("https://api-enni.alpina.ru/FileCertificateProject/749","https://api-enni.alpina.ru/FileCertificateProject/749")</f>
        <v>https://api-enni.alpina.ru/FileCertificateProject/749</v>
      </c>
      <c r="Z1921" s="13"/>
      <c r="AT1921" s="1">
        <f t="shared" ref="AT1921:AT1952" si="365">IF($A1921&lt;&gt;0,1,0)</f>
        <v>0</v>
      </c>
      <c r="AU1921" s="1">
        <f t="shared" ref="AU1921:AU1952" si="366">$A1921*$B1921</f>
        <v>0</v>
      </c>
      <c r="AV1921" s="1">
        <f t="shared" ref="AV1921:AV1952" si="367">$A1921*$N1921</f>
        <v>0</v>
      </c>
      <c r="AW1921" s="1">
        <f t="shared" ref="AW1921:AW1952" si="368">IF($Q1921=0,0,INT($A1921/$Q1921))</f>
        <v>0</v>
      </c>
      <c r="AX1921" s="1">
        <f t="shared" ref="AX1921:AX1952" si="369">$A1921-$AW1921*$Q1921</f>
        <v>0</v>
      </c>
    </row>
    <row r="1922" spans="1:50" s="1" customFormat="1" ht="24.95" customHeight="1" outlineLevel="3" x14ac:dyDescent="0.2">
      <c r="A1922" s="11"/>
      <c r="B1922" s="12">
        <v>360</v>
      </c>
      <c r="C1922" s="12">
        <v>590</v>
      </c>
      <c r="D1922" s="12">
        <v>27612</v>
      </c>
      <c r="E1922" s="13" t="s">
        <v>5505</v>
      </c>
      <c r="F1922" s="13" t="s">
        <v>6285</v>
      </c>
      <c r="G1922" s="13" t="s">
        <v>163</v>
      </c>
      <c r="H1922" s="13" t="s">
        <v>164</v>
      </c>
      <c r="I1922" s="12">
        <v>2023</v>
      </c>
      <c r="J1922" s="13" t="s">
        <v>6286</v>
      </c>
      <c r="K1922" s="12">
        <v>9785961487381</v>
      </c>
      <c r="L1922" s="13" t="s">
        <v>6287</v>
      </c>
      <c r="M1922" s="12">
        <v>32</v>
      </c>
      <c r="N1922" s="14">
        <v>0.15</v>
      </c>
      <c r="O1922" s="12">
        <v>180</v>
      </c>
      <c r="P1922" s="12">
        <v>190</v>
      </c>
      <c r="Q1922" s="12">
        <v>20</v>
      </c>
      <c r="R1922" s="13" t="s">
        <v>100</v>
      </c>
      <c r="S1922" s="13" t="s">
        <v>5509</v>
      </c>
      <c r="T1922" s="15">
        <v>3000</v>
      </c>
      <c r="U1922" s="13" t="s">
        <v>52</v>
      </c>
      <c r="V1922" s="13" t="s">
        <v>64</v>
      </c>
      <c r="W1922" s="12">
        <v>10</v>
      </c>
      <c r="X1922" s="33" t="str">
        <f>HYPERLINK("https://www.alpinabook.ru/catalog/book-konni-idyet-v-parikmakherskuyu","ссылка на книгу")</f>
        <v>ссылка на книгу</v>
      </c>
      <c r="Y1922" s="34" t="str">
        <f>HYPERLINK("https://api-enni.alpina.ru/FileCertificateProject/103","https://api-enni.alpina.ru/FileCertificateProject/103")</f>
        <v>https://api-enni.alpina.ru/FileCertificateProject/103</v>
      </c>
      <c r="Z1922" s="13"/>
      <c r="AT1922" s="1">
        <f t="shared" si="365"/>
        <v>0</v>
      </c>
      <c r="AU1922" s="1">
        <f t="shared" si="366"/>
        <v>0</v>
      </c>
      <c r="AV1922" s="1">
        <f t="shared" si="367"/>
        <v>0</v>
      </c>
      <c r="AW1922" s="1">
        <f t="shared" si="368"/>
        <v>0</v>
      </c>
      <c r="AX1922" s="1">
        <f t="shared" si="369"/>
        <v>0</v>
      </c>
    </row>
    <row r="1923" spans="1:50" s="1" customFormat="1" ht="24.95" customHeight="1" outlineLevel="3" x14ac:dyDescent="0.2">
      <c r="A1923" s="11"/>
      <c r="B1923" s="12">
        <v>440</v>
      </c>
      <c r="C1923" s="12">
        <v>690</v>
      </c>
      <c r="D1923" s="12">
        <v>28859</v>
      </c>
      <c r="E1923" s="13" t="s">
        <v>5505</v>
      </c>
      <c r="F1923" s="13" t="s">
        <v>6288</v>
      </c>
      <c r="G1923" s="13" t="s">
        <v>163</v>
      </c>
      <c r="H1923" s="13" t="s">
        <v>164</v>
      </c>
      <c r="I1923" s="12">
        <v>2024</v>
      </c>
      <c r="J1923" s="13" t="s">
        <v>6289</v>
      </c>
      <c r="K1923" s="12">
        <v>9785961490336</v>
      </c>
      <c r="L1923" s="13" t="s">
        <v>6290</v>
      </c>
      <c r="M1923" s="12">
        <v>32</v>
      </c>
      <c r="N1923" s="14">
        <v>0.17</v>
      </c>
      <c r="O1923" s="12">
        <v>180</v>
      </c>
      <c r="P1923" s="12">
        <v>190</v>
      </c>
      <c r="Q1923" s="12">
        <v>20</v>
      </c>
      <c r="R1923" s="13" t="s">
        <v>100</v>
      </c>
      <c r="S1923" s="13" t="s">
        <v>5509</v>
      </c>
      <c r="T1923" s="15">
        <v>2000</v>
      </c>
      <c r="U1923" s="13" t="s">
        <v>52</v>
      </c>
      <c r="V1923" s="13" t="s">
        <v>64</v>
      </c>
      <c r="W1923" s="12">
        <v>10</v>
      </c>
      <c r="X1923" s="33" t="str">
        <f>HYPERLINK("https://www.alpinabook.ru/catalog/book-konni-idet-v-shkolu","ссылка на книгу")</f>
        <v>ссылка на книгу</v>
      </c>
      <c r="Y1923" s="34" t="str">
        <f>HYPERLINK("https://api-enni.alpina.ru/FileCertificateProject/443","https://api-enni.alpina.ru/FileCertificateProject/443")</f>
        <v>https://api-enni.alpina.ru/FileCertificateProject/443</v>
      </c>
      <c r="Z1923" s="13"/>
      <c r="AT1923" s="1">
        <f t="shared" si="365"/>
        <v>0</v>
      </c>
      <c r="AU1923" s="1">
        <f t="shared" si="366"/>
        <v>0</v>
      </c>
      <c r="AV1923" s="1">
        <f t="shared" si="367"/>
        <v>0</v>
      </c>
      <c r="AW1923" s="1">
        <f t="shared" si="368"/>
        <v>0</v>
      </c>
      <c r="AX1923" s="1">
        <f t="shared" si="369"/>
        <v>0</v>
      </c>
    </row>
    <row r="1924" spans="1:50" s="1" customFormat="1" ht="24.95" customHeight="1" outlineLevel="3" x14ac:dyDescent="0.2">
      <c r="A1924" s="11"/>
      <c r="B1924" s="12">
        <v>490</v>
      </c>
      <c r="C1924" s="12">
        <v>740</v>
      </c>
      <c r="D1924" s="12">
        <v>33412</v>
      </c>
      <c r="E1924" s="13" t="s">
        <v>5505</v>
      </c>
      <c r="F1924" s="13" t="s">
        <v>6291</v>
      </c>
      <c r="G1924" s="13" t="s">
        <v>163</v>
      </c>
      <c r="H1924" s="13" t="s">
        <v>164</v>
      </c>
      <c r="I1924" s="12">
        <v>2025</v>
      </c>
      <c r="J1924" s="13" t="s">
        <v>6292</v>
      </c>
      <c r="K1924" s="12">
        <v>9785006304642</v>
      </c>
      <c r="L1924" s="13" t="s">
        <v>6293</v>
      </c>
      <c r="M1924" s="12">
        <v>32</v>
      </c>
      <c r="N1924" s="14">
        <v>0.17</v>
      </c>
      <c r="O1924" s="12">
        <v>190</v>
      </c>
      <c r="P1924" s="12">
        <v>180</v>
      </c>
      <c r="Q1924" s="12">
        <v>20</v>
      </c>
      <c r="R1924" s="13" t="s">
        <v>100</v>
      </c>
      <c r="S1924" s="13" t="s">
        <v>5509</v>
      </c>
      <c r="T1924" s="15">
        <v>1500</v>
      </c>
      <c r="U1924" s="13" t="s">
        <v>52</v>
      </c>
      <c r="V1924" s="13" t="s">
        <v>64</v>
      </c>
      <c r="W1924" s="12">
        <v>10</v>
      </c>
      <c r="X1924" s="33" t="str">
        <f>HYPERLINK("https://www.alpinabook.ru/catalog/book-konni-idyet-za-pokupkami","ссылка на книгу")</f>
        <v>ссылка на книгу</v>
      </c>
      <c r="Y1924" s="34" t="str">
        <f>HYPERLINK("https://api-enni.alpina.ru/FileCertificateProject/468","https://api-enni.alpina.ru/FileCertificateProject/468")</f>
        <v>https://api-enni.alpina.ru/FileCertificateProject/468</v>
      </c>
      <c r="Z1924" s="13" t="s">
        <v>77</v>
      </c>
      <c r="AT1924" s="1">
        <f t="shared" si="365"/>
        <v>0</v>
      </c>
      <c r="AU1924" s="1">
        <f t="shared" si="366"/>
        <v>0</v>
      </c>
      <c r="AV1924" s="1">
        <f t="shared" si="367"/>
        <v>0</v>
      </c>
      <c r="AW1924" s="1">
        <f t="shared" si="368"/>
        <v>0</v>
      </c>
      <c r="AX1924" s="1">
        <f t="shared" si="369"/>
        <v>0</v>
      </c>
    </row>
    <row r="1925" spans="1:50" s="1" customFormat="1" ht="24.95" customHeight="1" outlineLevel="3" x14ac:dyDescent="0.2">
      <c r="A1925" s="11"/>
      <c r="B1925" s="12">
        <v>440</v>
      </c>
      <c r="C1925" s="12">
        <v>690</v>
      </c>
      <c r="D1925" s="12">
        <v>30139</v>
      </c>
      <c r="E1925" s="13" t="s">
        <v>5505</v>
      </c>
      <c r="F1925" s="13" t="s">
        <v>6294</v>
      </c>
      <c r="G1925" s="13" t="s">
        <v>163</v>
      </c>
      <c r="H1925" s="13" t="s">
        <v>164</v>
      </c>
      <c r="I1925" s="12">
        <v>2024</v>
      </c>
      <c r="J1925" s="13" t="s">
        <v>6295</v>
      </c>
      <c r="K1925" s="12">
        <v>9785961494853</v>
      </c>
      <c r="L1925" s="13" t="s">
        <v>6296</v>
      </c>
      <c r="M1925" s="12">
        <v>32</v>
      </c>
      <c r="N1925" s="14">
        <v>0.19</v>
      </c>
      <c r="O1925" s="12">
        <v>180</v>
      </c>
      <c r="P1925" s="12">
        <v>180</v>
      </c>
      <c r="Q1925" s="12">
        <v>20</v>
      </c>
      <c r="R1925" s="13" t="s">
        <v>100</v>
      </c>
      <c r="S1925" s="13" t="s">
        <v>5509</v>
      </c>
      <c r="T1925" s="15">
        <v>3000</v>
      </c>
      <c r="U1925" s="13" t="s">
        <v>52</v>
      </c>
      <c r="V1925" s="13" t="s">
        <v>64</v>
      </c>
      <c r="W1925" s="12">
        <v>10</v>
      </c>
      <c r="X1925" s="33" t="str">
        <f>HYPERLINK("https://www.alpinabook.ru/catalog/book-konni-idyet-k-vrachu","ссылка на книгу")</f>
        <v>ссылка на книгу</v>
      </c>
      <c r="Y1925" s="34" t="str">
        <f>HYPERLINK("https://api-enni.alpina.ru/FileCertificateProject/460","https://api-enni.alpina.ru/FileCertificateProject/460")</f>
        <v>https://api-enni.alpina.ru/FileCertificateProject/460</v>
      </c>
      <c r="Z1925" s="13"/>
      <c r="AT1925" s="1">
        <f t="shared" si="365"/>
        <v>0</v>
      </c>
      <c r="AU1925" s="1">
        <f t="shared" si="366"/>
        <v>0</v>
      </c>
      <c r="AV1925" s="1">
        <f t="shared" si="367"/>
        <v>0</v>
      </c>
      <c r="AW1925" s="1">
        <f t="shared" si="368"/>
        <v>0</v>
      </c>
      <c r="AX1925" s="1">
        <f t="shared" si="369"/>
        <v>0</v>
      </c>
    </row>
    <row r="1926" spans="1:50" s="1" customFormat="1" ht="24.95" customHeight="1" outlineLevel="3" x14ac:dyDescent="0.2">
      <c r="A1926" s="11"/>
      <c r="B1926" s="12">
        <v>690</v>
      </c>
      <c r="C1926" s="12">
        <v>990</v>
      </c>
      <c r="D1926" s="12">
        <v>18076</v>
      </c>
      <c r="E1926" s="13" t="s">
        <v>5505</v>
      </c>
      <c r="F1926" s="13" t="s">
        <v>6297</v>
      </c>
      <c r="G1926" s="13" t="s">
        <v>163</v>
      </c>
      <c r="H1926" s="13" t="s">
        <v>164</v>
      </c>
      <c r="I1926" s="12">
        <v>2023</v>
      </c>
      <c r="J1926" s="13" t="s">
        <v>6298</v>
      </c>
      <c r="K1926" s="12">
        <v>9785961437003</v>
      </c>
      <c r="L1926" s="13" t="s">
        <v>6299</v>
      </c>
      <c r="M1926" s="12">
        <v>14</v>
      </c>
      <c r="N1926" s="14">
        <v>0.51</v>
      </c>
      <c r="O1926" s="12">
        <v>250</v>
      </c>
      <c r="P1926" s="12">
        <v>280</v>
      </c>
      <c r="Q1926" s="12">
        <v>20</v>
      </c>
      <c r="R1926" s="13" t="s">
        <v>300</v>
      </c>
      <c r="S1926" s="13" t="s">
        <v>5509</v>
      </c>
      <c r="T1926" s="15">
        <v>3000</v>
      </c>
      <c r="U1926" s="13" t="s">
        <v>52</v>
      </c>
      <c r="V1926" s="13" t="s">
        <v>64</v>
      </c>
      <c r="W1926" s="12">
        <v>10</v>
      </c>
      <c r="X1926" s="33" t="str">
        <f>HYPERLINK("https://www.alpinabook.ru/catalog/book-konni-izuchaet-telo","ссылка на книгу")</f>
        <v>ссылка на книгу</v>
      </c>
      <c r="Y1926" s="34" t="str">
        <f>HYPERLINK("https://api-enni.alpina.ru/FileCertificateProject/457","https://api-enni.alpina.ru/FileCertificateProject/457")</f>
        <v>https://api-enni.alpina.ru/FileCertificateProject/457</v>
      </c>
      <c r="Z1926" s="13"/>
      <c r="AT1926" s="1">
        <f t="shared" si="365"/>
        <v>0</v>
      </c>
      <c r="AU1926" s="1">
        <f t="shared" si="366"/>
        <v>0</v>
      </c>
      <c r="AV1926" s="1">
        <f t="shared" si="367"/>
        <v>0</v>
      </c>
      <c r="AW1926" s="1">
        <f t="shared" si="368"/>
        <v>0</v>
      </c>
      <c r="AX1926" s="1">
        <f t="shared" si="369"/>
        <v>0</v>
      </c>
    </row>
    <row r="1927" spans="1:50" s="1" customFormat="1" ht="21.95" customHeight="1" outlineLevel="3" x14ac:dyDescent="0.2">
      <c r="A1927" s="11"/>
      <c r="B1927" s="12">
        <v>360</v>
      </c>
      <c r="C1927" s="12">
        <v>590</v>
      </c>
      <c r="D1927" s="12">
        <v>28101</v>
      </c>
      <c r="E1927" s="13" t="s">
        <v>5505</v>
      </c>
      <c r="F1927" s="13" t="s">
        <v>6300</v>
      </c>
      <c r="G1927" s="13" t="s">
        <v>163</v>
      </c>
      <c r="H1927" s="13" t="s">
        <v>164</v>
      </c>
      <c r="I1927" s="12">
        <v>2023</v>
      </c>
      <c r="J1927" s="13" t="s">
        <v>6301</v>
      </c>
      <c r="K1927" s="12">
        <v>9785961487305</v>
      </c>
      <c r="L1927" s="13" t="s">
        <v>6302</v>
      </c>
      <c r="M1927" s="12">
        <v>32</v>
      </c>
      <c r="N1927" s="14">
        <v>0.15</v>
      </c>
      <c r="O1927" s="12">
        <v>180</v>
      </c>
      <c r="P1927" s="12">
        <v>180</v>
      </c>
      <c r="Q1927" s="12">
        <v>20</v>
      </c>
      <c r="R1927" s="13" t="s">
        <v>100</v>
      </c>
      <c r="S1927" s="13" t="s">
        <v>5509</v>
      </c>
      <c r="T1927" s="15">
        <v>2000</v>
      </c>
      <c r="U1927" s="13" t="s">
        <v>52</v>
      </c>
      <c r="V1927" s="13" t="s">
        <v>64</v>
      </c>
      <c r="W1927" s="12">
        <v>10</v>
      </c>
      <c r="X1927" s="33" t="str">
        <f>HYPERLINK("https://www.alpinabook.ru/catalog/book-konni-kataetsya-na-velosipede","ссылка на книгу")</f>
        <v>ссылка на книгу</v>
      </c>
      <c r="Y1927" s="34" t="str">
        <f>HYPERLINK("","")</f>
        <v/>
      </c>
      <c r="Z1927" s="13"/>
      <c r="AT1927" s="1">
        <f t="shared" si="365"/>
        <v>0</v>
      </c>
      <c r="AU1927" s="1">
        <f t="shared" si="366"/>
        <v>0</v>
      </c>
      <c r="AV1927" s="1">
        <f t="shared" si="367"/>
        <v>0</v>
      </c>
      <c r="AW1927" s="1">
        <f t="shared" si="368"/>
        <v>0</v>
      </c>
      <c r="AX1927" s="1">
        <f t="shared" si="369"/>
        <v>0</v>
      </c>
    </row>
    <row r="1928" spans="1:50" s="1" customFormat="1" ht="24.95" customHeight="1" outlineLevel="3" x14ac:dyDescent="0.2">
      <c r="A1928" s="11"/>
      <c r="B1928" s="12">
        <v>440</v>
      </c>
      <c r="C1928" s="12">
        <v>690</v>
      </c>
      <c r="D1928" s="12">
        <v>32412</v>
      </c>
      <c r="E1928" s="13" t="s">
        <v>5505</v>
      </c>
      <c r="F1928" s="13" t="s">
        <v>6303</v>
      </c>
      <c r="G1928" s="13" t="s">
        <v>163</v>
      </c>
      <c r="H1928" s="13" t="s">
        <v>164</v>
      </c>
      <c r="I1928" s="12">
        <v>2025</v>
      </c>
      <c r="J1928" s="13" t="s">
        <v>6304</v>
      </c>
      <c r="K1928" s="12">
        <v>9785006302174</v>
      </c>
      <c r="L1928" s="13" t="s">
        <v>6305</v>
      </c>
      <c r="M1928" s="12">
        <v>30</v>
      </c>
      <c r="N1928" s="14">
        <v>0.2</v>
      </c>
      <c r="O1928" s="12">
        <v>190</v>
      </c>
      <c r="P1928" s="12">
        <v>180</v>
      </c>
      <c r="Q1928" s="12">
        <v>18</v>
      </c>
      <c r="R1928" s="13" t="s">
        <v>100</v>
      </c>
      <c r="S1928" s="13" t="s">
        <v>5509</v>
      </c>
      <c r="T1928" s="15">
        <v>1500</v>
      </c>
      <c r="U1928" s="13" t="s">
        <v>52</v>
      </c>
      <c r="V1928" s="13" t="s">
        <v>64</v>
      </c>
      <c r="W1928" s="12">
        <v>10</v>
      </c>
      <c r="X1928" s="33" t="str">
        <f>HYPERLINK("https://www.alpinabook.ru/catalog/book-konni-kataetsya-na-lyzhakh","ссылка на книгу")</f>
        <v>ссылка на книгу</v>
      </c>
      <c r="Y1928" s="34" t="str">
        <f>HYPERLINK("https://api-enni.alpina.ru/FileCertificateProject/489","https://api-enni.alpina.ru/FileCertificateProject/489")</f>
        <v>https://api-enni.alpina.ru/FileCertificateProject/489</v>
      </c>
      <c r="Z1928" s="13"/>
      <c r="AT1928" s="1">
        <f t="shared" si="365"/>
        <v>0</v>
      </c>
      <c r="AU1928" s="1">
        <f t="shared" si="366"/>
        <v>0</v>
      </c>
      <c r="AV1928" s="1">
        <f t="shared" si="367"/>
        <v>0</v>
      </c>
      <c r="AW1928" s="1">
        <f t="shared" si="368"/>
        <v>0</v>
      </c>
      <c r="AX1928" s="1">
        <f t="shared" si="369"/>
        <v>0</v>
      </c>
    </row>
    <row r="1929" spans="1:50" s="1" customFormat="1" ht="24.95" customHeight="1" outlineLevel="3" x14ac:dyDescent="0.2">
      <c r="A1929" s="11"/>
      <c r="B1929" s="12">
        <v>440</v>
      </c>
      <c r="C1929" s="12">
        <v>690</v>
      </c>
      <c r="D1929" s="12">
        <v>28909</v>
      </c>
      <c r="E1929" s="13" t="s">
        <v>5505</v>
      </c>
      <c r="F1929" s="13" t="s">
        <v>6306</v>
      </c>
      <c r="G1929" s="13" t="s">
        <v>163</v>
      </c>
      <c r="H1929" s="13" t="s">
        <v>164</v>
      </c>
      <c r="I1929" s="12">
        <v>2024</v>
      </c>
      <c r="J1929" s="13" t="s">
        <v>6307</v>
      </c>
      <c r="K1929" s="12">
        <v>9785961490688</v>
      </c>
      <c r="L1929" s="13" t="s">
        <v>6308</v>
      </c>
      <c r="M1929" s="12">
        <v>32</v>
      </c>
      <c r="N1929" s="14">
        <v>0.15</v>
      </c>
      <c r="O1929" s="12">
        <v>180</v>
      </c>
      <c r="P1929" s="12">
        <v>190</v>
      </c>
      <c r="Q1929" s="12">
        <v>20</v>
      </c>
      <c r="R1929" s="13" t="s">
        <v>100</v>
      </c>
      <c r="S1929" s="13" t="s">
        <v>5509</v>
      </c>
      <c r="T1929" s="15">
        <v>2000</v>
      </c>
      <c r="U1929" s="13" t="s">
        <v>52</v>
      </c>
      <c r="V1929" s="13" t="s">
        <v>64</v>
      </c>
      <c r="W1929" s="12">
        <v>10</v>
      </c>
      <c r="X1929" s="33" t="str">
        <f>HYPERLINK("https://www.alpinabook.ru/catalog/book-konni-letit-na-samolyete","ссылка на книгу")</f>
        <v>ссылка на книгу</v>
      </c>
      <c r="Y1929" s="34" t="str">
        <f>HYPERLINK("https://api-enni.alpina.ru/FileCertificateProject/720","https://api-enni.alpina.ru/FileCertificateProject/720")</f>
        <v>https://api-enni.alpina.ru/FileCertificateProject/720</v>
      </c>
      <c r="Z1929" s="13"/>
      <c r="AT1929" s="1">
        <f t="shared" si="365"/>
        <v>0</v>
      </c>
      <c r="AU1929" s="1">
        <f t="shared" si="366"/>
        <v>0</v>
      </c>
      <c r="AV1929" s="1">
        <f t="shared" si="367"/>
        <v>0</v>
      </c>
      <c r="AW1929" s="1">
        <f t="shared" si="368"/>
        <v>0</v>
      </c>
      <c r="AX1929" s="1">
        <f t="shared" si="369"/>
        <v>0</v>
      </c>
    </row>
    <row r="1930" spans="1:50" s="1" customFormat="1" ht="24.95" customHeight="1" outlineLevel="3" x14ac:dyDescent="0.2">
      <c r="A1930" s="11"/>
      <c r="B1930" s="12">
        <v>360</v>
      </c>
      <c r="C1930" s="12">
        <v>590</v>
      </c>
      <c r="D1930" s="12">
        <v>28280</v>
      </c>
      <c r="E1930" s="13" t="s">
        <v>5505</v>
      </c>
      <c r="F1930" s="13" t="s">
        <v>6309</v>
      </c>
      <c r="G1930" s="13" t="s">
        <v>163</v>
      </c>
      <c r="H1930" s="13" t="s">
        <v>164</v>
      </c>
      <c r="I1930" s="12">
        <v>2023</v>
      </c>
      <c r="J1930" s="13" t="s">
        <v>6310</v>
      </c>
      <c r="K1930" s="12">
        <v>9785961487718</v>
      </c>
      <c r="L1930" s="13" t="s">
        <v>6311</v>
      </c>
      <c r="M1930" s="12">
        <v>30</v>
      </c>
      <c r="N1930" s="14">
        <v>0.15</v>
      </c>
      <c r="O1930" s="12">
        <v>190</v>
      </c>
      <c r="P1930" s="12">
        <v>180</v>
      </c>
      <c r="Q1930" s="12">
        <v>20</v>
      </c>
      <c r="R1930" s="13" t="s">
        <v>100</v>
      </c>
      <c r="S1930" s="13" t="s">
        <v>5509</v>
      </c>
      <c r="T1930" s="15">
        <v>1500</v>
      </c>
      <c r="U1930" s="13" t="s">
        <v>52</v>
      </c>
      <c r="V1930" s="13" t="s">
        <v>64</v>
      </c>
      <c r="W1930" s="12">
        <v>10</v>
      </c>
      <c r="X1930" s="33" t="str">
        <f>HYPERLINK("https://www.alpinabook.ru/catalog/book-konni-na-bolnichnom","ссылка на книгу")</f>
        <v>ссылка на книгу</v>
      </c>
      <c r="Y1930" s="34" t="str">
        <f>HYPERLINK("https://api-enni.alpina.ru/FileCertificateProject/108","https://api-enni.alpina.ru/FileCertificateProject/108")</f>
        <v>https://api-enni.alpina.ru/FileCertificateProject/108</v>
      </c>
      <c r="Z1930" s="13"/>
      <c r="AT1930" s="1">
        <f t="shared" si="365"/>
        <v>0</v>
      </c>
      <c r="AU1930" s="1">
        <f t="shared" si="366"/>
        <v>0</v>
      </c>
      <c r="AV1930" s="1">
        <f t="shared" si="367"/>
        <v>0</v>
      </c>
      <c r="AW1930" s="1">
        <f t="shared" si="368"/>
        <v>0</v>
      </c>
      <c r="AX1930" s="1">
        <f t="shared" si="369"/>
        <v>0</v>
      </c>
    </row>
    <row r="1931" spans="1:50" s="1" customFormat="1" ht="24.95" customHeight="1" outlineLevel="3" x14ac:dyDescent="0.2">
      <c r="A1931" s="26"/>
      <c r="B1931" s="27">
        <v>340</v>
      </c>
      <c r="C1931" s="27">
        <v>540</v>
      </c>
      <c r="D1931" s="27">
        <v>18797</v>
      </c>
      <c r="E1931" s="29" t="s">
        <v>5505</v>
      </c>
      <c r="F1931" s="29" t="s">
        <v>6312</v>
      </c>
      <c r="G1931" s="29" t="s">
        <v>163</v>
      </c>
      <c r="H1931" s="29" t="s">
        <v>164</v>
      </c>
      <c r="I1931" s="27">
        <v>2020</v>
      </c>
      <c r="J1931" s="29" t="s">
        <v>6313</v>
      </c>
      <c r="K1931" s="27">
        <v>9785961437560</v>
      </c>
      <c r="L1931" s="29" t="s">
        <v>6314</v>
      </c>
      <c r="M1931" s="27">
        <v>30</v>
      </c>
      <c r="N1931" s="30">
        <v>0.28000000000000003</v>
      </c>
      <c r="O1931" s="27">
        <v>206</v>
      </c>
      <c r="P1931" s="27">
        <v>206</v>
      </c>
      <c r="Q1931" s="27">
        <v>16</v>
      </c>
      <c r="R1931" s="29" t="s">
        <v>167</v>
      </c>
      <c r="S1931" s="29" t="s">
        <v>5509</v>
      </c>
      <c r="T1931" s="28">
        <v>3000</v>
      </c>
      <c r="U1931" s="29" t="s">
        <v>52</v>
      </c>
      <c r="V1931" s="29" t="s">
        <v>64</v>
      </c>
      <c r="W1931" s="27">
        <v>10</v>
      </c>
      <c r="X1931" s="37" t="str">
        <f>HYPERLINK("https://www.alpinabook.ru/catalog/book-648589","ссылка на книгу")</f>
        <v>ссылка на книгу</v>
      </c>
      <c r="Y1931" s="38" t="str">
        <f>HYPERLINK("https://api-enni.alpina.ru/FileCertificateProject/108","https://api-enni.alpina.ru/FileCertificateProject/108")</f>
        <v>https://api-enni.alpina.ru/FileCertificateProject/108</v>
      </c>
      <c r="Z1931" s="29"/>
      <c r="AT1931" s="1">
        <f t="shared" si="365"/>
        <v>0</v>
      </c>
      <c r="AU1931" s="1">
        <f t="shared" si="366"/>
        <v>0</v>
      </c>
      <c r="AV1931" s="1">
        <f t="shared" si="367"/>
        <v>0</v>
      </c>
      <c r="AW1931" s="1">
        <f t="shared" si="368"/>
        <v>0</v>
      </c>
      <c r="AX1931" s="1">
        <f t="shared" si="369"/>
        <v>0</v>
      </c>
    </row>
    <row r="1932" spans="1:50" s="1" customFormat="1" ht="21.95" customHeight="1" outlineLevel="3" x14ac:dyDescent="0.2">
      <c r="A1932" s="11"/>
      <c r="B1932" s="12">
        <v>360</v>
      </c>
      <c r="C1932" s="12">
        <v>590</v>
      </c>
      <c r="D1932" s="12">
        <v>8487</v>
      </c>
      <c r="E1932" s="13" t="s">
        <v>5505</v>
      </c>
      <c r="F1932" s="13" t="s">
        <v>6315</v>
      </c>
      <c r="G1932" s="13" t="s">
        <v>163</v>
      </c>
      <c r="H1932" s="13" t="s">
        <v>164</v>
      </c>
      <c r="I1932" s="12">
        <v>2023</v>
      </c>
      <c r="J1932" s="13" t="s">
        <v>6316</v>
      </c>
      <c r="K1932" s="12">
        <v>9785961469660</v>
      </c>
      <c r="L1932" s="13" t="s">
        <v>6317</v>
      </c>
      <c r="M1932" s="12">
        <v>30</v>
      </c>
      <c r="N1932" s="14">
        <v>0.25</v>
      </c>
      <c r="O1932" s="12">
        <v>206</v>
      </c>
      <c r="P1932" s="12">
        <v>206</v>
      </c>
      <c r="Q1932" s="12">
        <v>50</v>
      </c>
      <c r="R1932" s="13" t="s">
        <v>167</v>
      </c>
      <c r="S1932" s="13" t="s">
        <v>5509</v>
      </c>
      <c r="T1932" s="15">
        <v>3000</v>
      </c>
      <c r="U1932" s="13" t="s">
        <v>52</v>
      </c>
      <c r="V1932" s="13" t="s">
        <v>64</v>
      </c>
      <c r="W1932" s="12">
        <v>10</v>
      </c>
      <c r="X1932" s="33" t="str">
        <f>HYPERLINK("https://www.alpinabook.ru/catalog/book-konni-na-ferme","ссылка на книгу")</f>
        <v>ссылка на книгу</v>
      </c>
      <c r="Y1932" s="34" t="str">
        <f>HYPERLINK("","")</f>
        <v/>
      </c>
      <c r="Z1932" s="13"/>
      <c r="AT1932" s="1">
        <f t="shared" si="365"/>
        <v>0</v>
      </c>
      <c r="AU1932" s="1">
        <f t="shared" si="366"/>
        <v>0</v>
      </c>
      <c r="AV1932" s="1">
        <f t="shared" si="367"/>
        <v>0</v>
      </c>
      <c r="AW1932" s="1">
        <f t="shared" si="368"/>
        <v>0</v>
      </c>
      <c r="AX1932" s="1">
        <f t="shared" si="369"/>
        <v>0</v>
      </c>
    </row>
    <row r="1933" spans="1:50" s="1" customFormat="1" ht="24.95" customHeight="1" outlineLevel="3" x14ac:dyDescent="0.2">
      <c r="A1933" s="11"/>
      <c r="B1933" s="12">
        <v>490</v>
      </c>
      <c r="C1933" s="12">
        <v>740</v>
      </c>
      <c r="D1933" s="12">
        <v>33105</v>
      </c>
      <c r="E1933" s="13" t="s">
        <v>5505</v>
      </c>
      <c r="F1933" s="13" t="s">
        <v>6318</v>
      </c>
      <c r="G1933" s="13" t="s">
        <v>163</v>
      </c>
      <c r="H1933" s="13" t="s">
        <v>164</v>
      </c>
      <c r="I1933" s="12">
        <v>2025</v>
      </c>
      <c r="J1933" s="13" t="s">
        <v>6319</v>
      </c>
      <c r="K1933" s="12">
        <v>9785006300897</v>
      </c>
      <c r="L1933" s="13" t="s">
        <v>6320</v>
      </c>
      <c r="M1933" s="12">
        <v>32</v>
      </c>
      <c r="N1933" s="14">
        <v>0.18</v>
      </c>
      <c r="O1933" s="12">
        <v>190</v>
      </c>
      <c r="P1933" s="12">
        <v>180</v>
      </c>
      <c r="Q1933" s="12">
        <v>20</v>
      </c>
      <c r="R1933" s="13" t="s">
        <v>100</v>
      </c>
      <c r="S1933" s="13" t="s">
        <v>5509</v>
      </c>
      <c r="T1933" s="15">
        <v>1500</v>
      </c>
      <c r="U1933" s="13" t="s">
        <v>52</v>
      </c>
      <c r="V1933" s="13" t="s">
        <v>64</v>
      </c>
      <c r="W1933" s="12">
        <v>10</v>
      </c>
      <c r="X1933" s="33" t="str">
        <f>HYPERLINK("https://www.alpinabook.ru/catalog/book-konni-naryazhaetsya","ссылка на книгу")</f>
        <v>ссылка на книгу</v>
      </c>
      <c r="Y1933" s="34" t="str">
        <f>HYPERLINK("https://api-enni.alpina.ru/FileCertificateProject/267","https://api-enni.alpina.ru/FileCertificateProject/267")</f>
        <v>https://api-enni.alpina.ru/FileCertificateProject/267</v>
      </c>
      <c r="Z1933" s="13" t="s">
        <v>1312</v>
      </c>
      <c r="AT1933" s="1">
        <f t="shared" si="365"/>
        <v>0</v>
      </c>
      <c r="AU1933" s="1">
        <f t="shared" si="366"/>
        <v>0</v>
      </c>
      <c r="AV1933" s="1">
        <f t="shared" si="367"/>
        <v>0</v>
      </c>
      <c r="AW1933" s="1">
        <f t="shared" si="368"/>
        <v>0</v>
      </c>
      <c r="AX1933" s="1">
        <f t="shared" si="369"/>
        <v>0</v>
      </c>
    </row>
    <row r="1934" spans="1:50" s="1" customFormat="1" ht="24.95" customHeight="1" outlineLevel="3" x14ac:dyDescent="0.2">
      <c r="A1934" s="11"/>
      <c r="B1934" s="12">
        <v>340</v>
      </c>
      <c r="C1934" s="12">
        <v>340</v>
      </c>
      <c r="D1934" s="12">
        <v>18319</v>
      </c>
      <c r="E1934" s="13" t="s">
        <v>5505</v>
      </c>
      <c r="F1934" s="13" t="s">
        <v>6321</v>
      </c>
      <c r="G1934" s="13" t="s">
        <v>163</v>
      </c>
      <c r="H1934" s="13" t="s">
        <v>164</v>
      </c>
      <c r="I1934" s="12">
        <v>2022</v>
      </c>
      <c r="J1934" s="13" t="s">
        <v>6322</v>
      </c>
      <c r="K1934" s="12">
        <v>9785961431667</v>
      </c>
      <c r="L1934" s="13" t="s">
        <v>6323</v>
      </c>
      <c r="M1934" s="12">
        <v>30</v>
      </c>
      <c r="N1934" s="14">
        <v>0.25</v>
      </c>
      <c r="O1934" s="12">
        <v>206</v>
      </c>
      <c r="P1934" s="12">
        <v>207</v>
      </c>
      <c r="Q1934" s="12">
        <v>16</v>
      </c>
      <c r="R1934" s="13" t="s">
        <v>167</v>
      </c>
      <c r="S1934" s="13" t="s">
        <v>5509</v>
      </c>
      <c r="T1934" s="15">
        <v>3000</v>
      </c>
      <c r="U1934" s="13" t="s">
        <v>52</v>
      </c>
      <c r="V1934" s="13" t="s">
        <v>64</v>
      </c>
      <c r="W1934" s="12">
        <v>10</v>
      </c>
      <c r="X1934" s="33" t="str">
        <f>HYPERLINK("https://www.alpinabook.ru/catalog/book-konni-nochuet-u-podrugi","ссылка на книгу")</f>
        <v>ссылка на книгу</v>
      </c>
      <c r="Y1934" s="34" t="str">
        <f>HYPERLINK("https://api-enni.alpina.ru/FileCertificateProject/102","https://api-enni.alpina.ru/FileCertificateProject/102")</f>
        <v>https://api-enni.alpina.ru/FileCertificateProject/102</v>
      </c>
      <c r="Z1934" s="13"/>
      <c r="AT1934" s="1">
        <f t="shared" si="365"/>
        <v>0</v>
      </c>
      <c r="AU1934" s="1">
        <f t="shared" si="366"/>
        <v>0</v>
      </c>
      <c r="AV1934" s="1">
        <f t="shared" si="367"/>
        <v>0</v>
      </c>
      <c r="AW1934" s="1">
        <f t="shared" si="368"/>
        <v>0</v>
      </c>
      <c r="AX1934" s="1">
        <f t="shared" si="369"/>
        <v>0</v>
      </c>
    </row>
    <row r="1935" spans="1:50" s="1" customFormat="1" ht="24.95" customHeight="1" outlineLevel="3" x14ac:dyDescent="0.2">
      <c r="A1935" s="11"/>
      <c r="B1935" s="12">
        <v>360</v>
      </c>
      <c r="C1935" s="12">
        <v>590</v>
      </c>
      <c r="D1935" s="12">
        <v>23637</v>
      </c>
      <c r="E1935" s="13" t="s">
        <v>5505</v>
      </c>
      <c r="F1935" s="13" t="s">
        <v>6324</v>
      </c>
      <c r="G1935" s="13" t="s">
        <v>163</v>
      </c>
      <c r="H1935" s="13" t="s">
        <v>164</v>
      </c>
      <c r="I1935" s="12">
        <v>2022</v>
      </c>
      <c r="J1935" s="13" t="s">
        <v>6325</v>
      </c>
      <c r="K1935" s="12">
        <v>9785961473261</v>
      </c>
      <c r="L1935" s="13" t="s">
        <v>6326</v>
      </c>
      <c r="M1935" s="12">
        <v>32</v>
      </c>
      <c r="N1935" s="14">
        <v>0.28000000000000003</v>
      </c>
      <c r="O1935" s="12">
        <v>206</v>
      </c>
      <c r="P1935" s="12">
        <v>206</v>
      </c>
      <c r="Q1935" s="12">
        <v>18</v>
      </c>
      <c r="R1935" s="13" t="s">
        <v>167</v>
      </c>
      <c r="S1935" s="13" t="s">
        <v>5509</v>
      </c>
      <c r="T1935" s="15">
        <v>5000</v>
      </c>
      <c r="U1935" s="13" t="s">
        <v>52</v>
      </c>
      <c r="V1935" s="13" t="s">
        <v>64</v>
      </c>
      <c r="W1935" s="12">
        <v>10</v>
      </c>
      <c r="X1935" s="33" t="str">
        <f>HYPERLINK("https://www.alpinabook.ru/catalog/book-konni-pereezzhaet","ссылка на книгу")</f>
        <v>ссылка на книгу</v>
      </c>
      <c r="Y1935" s="34" t="str">
        <f>HYPERLINK("https://api-enni.alpina.ru/FileCertificateProject/195","https://api-enni.alpina.ru/FileCertificateProject/195")</f>
        <v>https://api-enni.alpina.ru/FileCertificateProject/195</v>
      </c>
      <c r="Z1935" s="13"/>
      <c r="AT1935" s="1">
        <f t="shared" si="365"/>
        <v>0</v>
      </c>
      <c r="AU1935" s="1">
        <f t="shared" si="366"/>
        <v>0</v>
      </c>
      <c r="AV1935" s="1">
        <f t="shared" si="367"/>
        <v>0</v>
      </c>
      <c r="AW1935" s="1">
        <f t="shared" si="368"/>
        <v>0</v>
      </c>
      <c r="AX1935" s="1">
        <f t="shared" si="369"/>
        <v>0</v>
      </c>
    </row>
    <row r="1936" spans="1:50" s="1" customFormat="1" ht="24.95" customHeight="1" outlineLevel="3" x14ac:dyDescent="0.2">
      <c r="A1936" s="11"/>
      <c r="B1936" s="12">
        <v>360</v>
      </c>
      <c r="C1936" s="12">
        <v>590</v>
      </c>
      <c r="D1936" s="12">
        <v>28536</v>
      </c>
      <c r="E1936" s="13" t="s">
        <v>5505</v>
      </c>
      <c r="F1936" s="13" t="s">
        <v>6327</v>
      </c>
      <c r="G1936" s="13" t="s">
        <v>163</v>
      </c>
      <c r="H1936" s="13" t="s">
        <v>164</v>
      </c>
      <c r="I1936" s="12">
        <v>2023</v>
      </c>
      <c r="J1936" s="13" t="s">
        <v>6328</v>
      </c>
      <c r="K1936" s="12">
        <v>9785961489293</v>
      </c>
      <c r="L1936" s="13" t="s">
        <v>6329</v>
      </c>
      <c r="M1936" s="12">
        <v>32</v>
      </c>
      <c r="N1936" s="14">
        <v>0.15</v>
      </c>
      <c r="O1936" s="12">
        <v>180</v>
      </c>
      <c r="P1936" s="12">
        <v>190</v>
      </c>
      <c r="Q1936" s="12">
        <v>30</v>
      </c>
      <c r="R1936" s="13" t="s">
        <v>100</v>
      </c>
      <c r="S1936" s="13" t="s">
        <v>5509</v>
      </c>
      <c r="T1936" s="15">
        <v>2000</v>
      </c>
      <c r="U1936" s="13" t="s">
        <v>52</v>
      </c>
      <c r="V1936" s="13" t="s">
        <v>64</v>
      </c>
      <c r="W1936" s="12">
        <v>10</v>
      </c>
      <c r="X1936" s="33" t="str">
        <f>HYPERLINK("https://www.alpinabook.ru/catalog/book-konni-pechyet-blinchiki","ссылка на книгу")</f>
        <v>ссылка на книгу</v>
      </c>
      <c r="Y1936" s="34" t="str">
        <f>HYPERLINK("https://api-enni.alpina.ru/FileCertificateProject/78","https://api-enni.alpina.ru/FileCertificateProject/78")</f>
        <v>https://api-enni.alpina.ru/FileCertificateProject/78</v>
      </c>
      <c r="Z1936" s="13"/>
      <c r="AT1936" s="1">
        <f t="shared" si="365"/>
        <v>0</v>
      </c>
      <c r="AU1936" s="1">
        <f t="shared" si="366"/>
        <v>0</v>
      </c>
      <c r="AV1936" s="1">
        <f t="shared" si="367"/>
        <v>0</v>
      </c>
      <c r="AW1936" s="1">
        <f t="shared" si="368"/>
        <v>0</v>
      </c>
      <c r="AX1936" s="1">
        <f t="shared" si="369"/>
        <v>0</v>
      </c>
    </row>
    <row r="1937" spans="1:50" s="1" customFormat="1" ht="21.95" customHeight="1" outlineLevel="3" x14ac:dyDescent="0.2">
      <c r="A1937" s="11"/>
      <c r="B1937" s="12">
        <v>490</v>
      </c>
      <c r="C1937" s="12">
        <v>740</v>
      </c>
      <c r="D1937" s="12">
        <v>31285</v>
      </c>
      <c r="E1937" s="13" t="s">
        <v>5505</v>
      </c>
      <c r="F1937" s="13" t="s">
        <v>6330</v>
      </c>
      <c r="G1937" s="13" t="s">
        <v>163</v>
      </c>
      <c r="H1937" s="13" t="s">
        <v>164</v>
      </c>
      <c r="I1937" s="12">
        <v>2025</v>
      </c>
      <c r="J1937" s="13" t="s">
        <v>6331</v>
      </c>
      <c r="K1937" s="12">
        <v>9785961498097</v>
      </c>
      <c r="L1937" s="13" t="s">
        <v>6332</v>
      </c>
      <c r="M1937" s="12">
        <v>48</v>
      </c>
      <c r="N1937" s="14">
        <v>0.21</v>
      </c>
      <c r="O1937" s="12">
        <v>190</v>
      </c>
      <c r="P1937" s="12">
        <v>180</v>
      </c>
      <c r="Q1937" s="12">
        <v>20</v>
      </c>
      <c r="R1937" s="13" t="s">
        <v>100</v>
      </c>
      <c r="S1937" s="13" t="s">
        <v>5509</v>
      </c>
      <c r="T1937" s="15">
        <v>3000</v>
      </c>
      <c r="U1937" s="13" t="s">
        <v>52</v>
      </c>
      <c r="V1937" s="13" t="s">
        <v>64</v>
      </c>
      <c r="W1937" s="12">
        <v>10</v>
      </c>
      <c r="X1937" s="33" t="str">
        <f>HYPERLINK("https://www.alpinabook.ru/catalog/book-konni-pobezhdaet-strakh","ссылка на книгу")</f>
        <v>ссылка на книгу</v>
      </c>
      <c r="Y1937" s="34" t="str">
        <f>HYPERLINK("","")</f>
        <v/>
      </c>
      <c r="Z1937" s="13" t="s">
        <v>4062</v>
      </c>
      <c r="AT1937" s="1">
        <f t="shared" si="365"/>
        <v>0</v>
      </c>
      <c r="AU1937" s="1">
        <f t="shared" si="366"/>
        <v>0</v>
      </c>
      <c r="AV1937" s="1">
        <f t="shared" si="367"/>
        <v>0</v>
      </c>
      <c r="AW1937" s="1">
        <f t="shared" si="368"/>
        <v>0</v>
      </c>
      <c r="AX1937" s="1">
        <f t="shared" si="369"/>
        <v>0</v>
      </c>
    </row>
    <row r="1938" spans="1:50" s="1" customFormat="1" ht="24.95" customHeight="1" outlineLevel="3" x14ac:dyDescent="0.2">
      <c r="A1938" s="11"/>
      <c r="B1938" s="12">
        <v>440</v>
      </c>
      <c r="C1938" s="12">
        <v>690</v>
      </c>
      <c r="D1938" s="12">
        <v>30137</v>
      </c>
      <c r="E1938" s="13" t="s">
        <v>5505</v>
      </c>
      <c r="F1938" s="13" t="s">
        <v>6333</v>
      </c>
      <c r="G1938" s="13" t="s">
        <v>163</v>
      </c>
      <c r="H1938" s="13" t="s">
        <v>164</v>
      </c>
      <c r="I1938" s="12">
        <v>2024</v>
      </c>
      <c r="J1938" s="13" t="s">
        <v>6334</v>
      </c>
      <c r="K1938" s="12">
        <v>9785961494839</v>
      </c>
      <c r="L1938" s="13" t="s">
        <v>6335</v>
      </c>
      <c r="M1938" s="12">
        <v>32</v>
      </c>
      <c r="N1938" s="14">
        <v>0.19</v>
      </c>
      <c r="O1938" s="12">
        <v>180</v>
      </c>
      <c r="P1938" s="12">
        <v>180</v>
      </c>
      <c r="Q1938" s="12">
        <v>20</v>
      </c>
      <c r="R1938" s="13" t="s">
        <v>100</v>
      </c>
      <c r="S1938" s="13" t="s">
        <v>5509</v>
      </c>
      <c r="T1938" s="15">
        <v>2000</v>
      </c>
      <c r="U1938" s="13" t="s">
        <v>52</v>
      </c>
      <c r="V1938" s="13" t="s">
        <v>64</v>
      </c>
      <c r="W1938" s="12">
        <v>10</v>
      </c>
      <c r="X1938" s="33" t="str">
        <f>HYPERLINK("https://www.alpinabook.ru/catalog/book-konni-pomogaet-pape","ссылка на книгу")</f>
        <v>ссылка на книгу</v>
      </c>
      <c r="Y1938" s="34" t="str">
        <f>HYPERLINK("https://api-enni.alpina.ru/FileCertificateProject/463","https://api-enni.alpina.ru/FileCertificateProject/463")</f>
        <v>https://api-enni.alpina.ru/FileCertificateProject/463</v>
      </c>
      <c r="Z1938" s="13"/>
      <c r="AT1938" s="1">
        <f t="shared" si="365"/>
        <v>0</v>
      </c>
      <c r="AU1938" s="1">
        <f t="shared" si="366"/>
        <v>0</v>
      </c>
      <c r="AV1938" s="1">
        <f t="shared" si="367"/>
        <v>0</v>
      </c>
      <c r="AW1938" s="1">
        <f t="shared" si="368"/>
        <v>0</v>
      </c>
      <c r="AX1938" s="1">
        <f t="shared" si="369"/>
        <v>0</v>
      </c>
    </row>
    <row r="1939" spans="1:50" s="1" customFormat="1" ht="21.95" customHeight="1" outlineLevel="3" x14ac:dyDescent="0.2">
      <c r="A1939" s="11"/>
      <c r="B1939" s="12">
        <v>360</v>
      </c>
      <c r="C1939" s="12">
        <v>590</v>
      </c>
      <c r="D1939" s="12">
        <v>24845</v>
      </c>
      <c r="E1939" s="13" t="s">
        <v>5505</v>
      </c>
      <c r="F1939" s="13" t="s">
        <v>6336</v>
      </c>
      <c r="G1939" s="13" t="s">
        <v>163</v>
      </c>
      <c r="H1939" s="13" t="s">
        <v>164</v>
      </c>
      <c r="I1939" s="12">
        <v>2022</v>
      </c>
      <c r="J1939" s="13" t="s">
        <v>6337</v>
      </c>
      <c r="K1939" s="12">
        <v>9785961476163</v>
      </c>
      <c r="L1939" s="13" t="s">
        <v>6338</v>
      </c>
      <c r="M1939" s="12">
        <v>32</v>
      </c>
      <c r="N1939" s="14">
        <v>0.28999999999999998</v>
      </c>
      <c r="O1939" s="12">
        <v>206</v>
      </c>
      <c r="P1939" s="12">
        <v>207</v>
      </c>
      <c r="Q1939" s="12">
        <v>18</v>
      </c>
      <c r="R1939" s="13" t="s">
        <v>167</v>
      </c>
      <c r="S1939" s="13" t="s">
        <v>5509</v>
      </c>
      <c r="T1939" s="15">
        <v>5000</v>
      </c>
      <c r="U1939" s="13" t="s">
        <v>52</v>
      </c>
      <c r="V1939" s="13" t="s">
        <v>64</v>
      </c>
      <c r="W1939" s="12">
        <v>10</v>
      </c>
      <c r="X1939" s="33" t="str">
        <f>HYPERLINK("https://www.alpinabook.ru/catalog/book-konni-popadaet-v-bolnitsu","ссылка на книгу")</f>
        <v>ссылка на книгу</v>
      </c>
      <c r="Y1939" s="34" t="str">
        <f>HYPERLINK("","")</f>
        <v/>
      </c>
      <c r="Z1939" s="13"/>
      <c r="AT1939" s="1">
        <f t="shared" si="365"/>
        <v>0</v>
      </c>
      <c r="AU1939" s="1">
        <f t="shared" si="366"/>
        <v>0</v>
      </c>
      <c r="AV1939" s="1">
        <f t="shared" si="367"/>
        <v>0</v>
      </c>
      <c r="AW1939" s="1">
        <f t="shared" si="368"/>
        <v>0</v>
      </c>
      <c r="AX1939" s="1">
        <f t="shared" si="369"/>
        <v>0</v>
      </c>
    </row>
    <row r="1940" spans="1:50" s="1" customFormat="1" ht="24.95" customHeight="1" outlineLevel="3" x14ac:dyDescent="0.2">
      <c r="A1940" s="11"/>
      <c r="B1940" s="12">
        <v>440</v>
      </c>
      <c r="C1940" s="12">
        <v>690</v>
      </c>
      <c r="D1940" s="12">
        <v>29625</v>
      </c>
      <c r="E1940" s="13" t="s">
        <v>5505</v>
      </c>
      <c r="F1940" s="13" t="s">
        <v>6339</v>
      </c>
      <c r="G1940" s="13" t="s">
        <v>163</v>
      </c>
      <c r="H1940" s="13" t="s">
        <v>164</v>
      </c>
      <c r="I1940" s="12">
        <v>2025</v>
      </c>
      <c r="J1940" s="13" t="s">
        <v>6340</v>
      </c>
      <c r="K1940" s="12">
        <v>9785961493184</v>
      </c>
      <c r="L1940" s="13" t="s">
        <v>6341</v>
      </c>
      <c r="M1940" s="12">
        <v>32</v>
      </c>
      <c r="N1940" s="14">
        <v>0.18</v>
      </c>
      <c r="O1940" s="12">
        <v>190</v>
      </c>
      <c r="P1940" s="12">
        <v>180</v>
      </c>
      <c r="Q1940" s="12">
        <v>20</v>
      </c>
      <c r="R1940" s="13" t="s">
        <v>100</v>
      </c>
      <c r="S1940" s="13" t="s">
        <v>5509</v>
      </c>
      <c r="T1940" s="15">
        <v>3000</v>
      </c>
      <c r="U1940" s="13" t="s">
        <v>52</v>
      </c>
      <c r="V1940" s="13" t="s">
        <v>64</v>
      </c>
      <c r="W1940" s="12">
        <v>10</v>
      </c>
      <c r="X1940" s="33" t="str">
        <f>HYPERLINK("https://www.alpinabook.ru/catalog/book-konni-pora-na-gorshok","ссылка на книгу")</f>
        <v>ссылка на книгу</v>
      </c>
      <c r="Y1940" s="34" t="str">
        <f>HYPERLINK("https://api-enni.alpina.ru/FileCertificateProject/462","https://api-enni.alpina.ru/FileCertificateProject/462")</f>
        <v>https://api-enni.alpina.ru/FileCertificateProject/462</v>
      </c>
      <c r="Z1940" s="13"/>
      <c r="AT1940" s="1">
        <f t="shared" si="365"/>
        <v>0</v>
      </c>
      <c r="AU1940" s="1">
        <f t="shared" si="366"/>
        <v>0</v>
      </c>
      <c r="AV1940" s="1">
        <f t="shared" si="367"/>
        <v>0</v>
      </c>
      <c r="AW1940" s="1">
        <f t="shared" si="368"/>
        <v>0</v>
      </c>
      <c r="AX1940" s="1">
        <f t="shared" si="369"/>
        <v>0</v>
      </c>
    </row>
    <row r="1941" spans="1:50" s="1" customFormat="1" ht="24.95" customHeight="1" outlineLevel="3" x14ac:dyDescent="0.2">
      <c r="A1941" s="11"/>
      <c r="B1941" s="12">
        <v>440</v>
      </c>
      <c r="C1941" s="12">
        <v>690</v>
      </c>
      <c r="D1941" s="12">
        <v>32491</v>
      </c>
      <c r="E1941" s="13" t="s">
        <v>5505</v>
      </c>
      <c r="F1941" s="13" t="s">
        <v>6342</v>
      </c>
      <c r="G1941" s="13" t="s">
        <v>163</v>
      </c>
      <c r="H1941" s="13" t="s">
        <v>164</v>
      </c>
      <c r="I1941" s="12">
        <v>2025</v>
      </c>
      <c r="J1941" s="13" t="s">
        <v>6343</v>
      </c>
      <c r="K1941" s="12">
        <v>9785006302365</v>
      </c>
      <c r="L1941" s="13" t="s">
        <v>6344</v>
      </c>
      <c r="M1941" s="12">
        <v>32</v>
      </c>
      <c r="N1941" s="14">
        <v>0.2</v>
      </c>
      <c r="O1941" s="12">
        <v>190</v>
      </c>
      <c r="P1941" s="12">
        <v>180</v>
      </c>
      <c r="Q1941" s="12">
        <v>18</v>
      </c>
      <c r="R1941" s="13" t="s">
        <v>100</v>
      </c>
      <c r="S1941" s="13" t="s">
        <v>5509</v>
      </c>
      <c r="T1941" s="15">
        <v>1500</v>
      </c>
      <c r="U1941" s="13" t="s">
        <v>52</v>
      </c>
      <c r="V1941" s="13" t="s">
        <v>64</v>
      </c>
      <c r="W1941" s="12">
        <v>10</v>
      </c>
      <c r="X1941" s="33" t="str">
        <f>HYPERLINK("https://www.alpinabook.ru/catalog/book-konni-poteryalas-v-magazine","ссылка на книгу")</f>
        <v>ссылка на книгу</v>
      </c>
      <c r="Y1941" s="34" t="str">
        <f>HYPERLINK("https://api-enni.alpina.ru/FileCertificateProject/589","https://api-enni.alpina.ru/FileCertificateProject/589")</f>
        <v>https://api-enni.alpina.ru/FileCertificateProject/589</v>
      </c>
      <c r="Z1941" s="13"/>
      <c r="AT1941" s="1">
        <f t="shared" si="365"/>
        <v>0</v>
      </c>
      <c r="AU1941" s="1">
        <f t="shared" si="366"/>
        <v>0</v>
      </c>
      <c r="AV1941" s="1">
        <f t="shared" si="367"/>
        <v>0</v>
      </c>
      <c r="AW1941" s="1">
        <f t="shared" si="368"/>
        <v>0</v>
      </c>
      <c r="AX1941" s="1">
        <f t="shared" si="369"/>
        <v>0</v>
      </c>
    </row>
    <row r="1942" spans="1:50" s="1" customFormat="1" ht="24.95" customHeight="1" outlineLevel="3" x14ac:dyDescent="0.2">
      <c r="A1942" s="11"/>
      <c r="B1942" s="12">
        <v>440</v>
      </c>
      <c r="C1942" s="12">
        <v>690</v>
      </c>
      <c r="D1942" s="12">
        <v>30057</v>
      </c>
      <c r="E1942" s="13" t="s">
        <v>5505</v>
      </c>
      <c r="F1942" s="13" t="s">
        <v>6345</v>
      </c>
      <c r="G1942" s="13" t="s">
        <v>163</v>
      </c>
      <c r="H1942" s="13" t="s">
        <v>164</v>
      </c>
      <c r="I1942" s="12">
        <v>2024</v>
      </c>
      <c r="J1942" s="13" t="s">
        <v>6346</v>
      </c>
      <c r="K1942" s="12">
        <v>9785961494679</v>
      </c>
      <c r="L1942" s="13" t="s">
        <v>6347</v>
      </c>
      <c r="M1942" s="12">
        <v>30</v>
      </c>
      <c r="N1942" s="14">
        <v>0.17</v>
      </c>
      <c r="O1942" s="12">
        <v>180</v>
      </c>
      <c r="P1942" s="12">
        <v>190</v>
      </c>
      <c r="Q1942" s="12">
        <v>20</v>
      </c>
      <c r="R1942" s="13" t="s">
        <v>100</v>
      </c>
      <c r="S1942" s="13" t="s">
        <v>5509</v>
      </c>
      <c r="T1942" s="15">
        <v>2000</v>
      </c>
      <c r="U1942" s="13" t="s">
        <v>52</v>
      </c>
      <c r="V1942" s="13" t="s">
        <v>64</v>
      </c>
      <c r="W1942" s="12">
        <v>10</v>
      </c>
      <c r="X1942" s="33" t="str">
        <f>HYPERLINK("https://www.alpinabook.ru/catalog/book-konni-prazdnuet-den-rozhdeniya","ссылка на книгу")</f>
        <v>ссылка на книгу</v>
      </c>
      <c r="Y1942" s="34" t="str">
        <f>HYPERLINK("https://api-enni.alpina.ru/FileCertificateProject/652","https://api-enni.alpina.ru/FileCertificateProject/652")</f>
        <v>https://api-enni.alpina.ru/FileCertificateProject/652</v>
      </c>
      <c r="Z1942" s="13"/>
      <c r="AT1942" s="1">
        <f t="shared" si="365"/>
        <v>0</v>
      </c>
      <c r="AU1942" s="1">
        <f t="shared" si="366"/>
        <v>0</v>
      </c>
      <c r="AV1942" s="1">
        <f t="shared" si="367"/>
        <v>0</v>
      </c>
      <c r="AW1942" s="1">
        <f t="shared" si="368"/>
        <v>0</v>
      </c>
      <c r="AX1942" s="1">
        <f t="shared" si="369"/>
        <v>0</v>
      </c>
    </row>
    <row r="1943" spans="1:50" s="1" customFormat="1" ht="21.95" customHeight="1" outlineLevel="3" x14ac:dyDescent="0.2">
      <c r="A1943" s="26"/>
      <c r="B1943" s="27">
        <v>340</v>
      </c>
      <c r="C1943" s="27">
        <v>540</v>
      </c>
      <c r="D1943" s="27">
        <v>17973</v>
      </c>
      <c r="E1943" s="29" t="s">
        <v>6145</v>
      </c>
      <c r="F1943" s="29" t="s">
        <v>6348</v>
      </c>
      <c r="G1943" s="29" t="s">
        <v>163</v>
      </c>
      <c r="H1943" s="29" t="s">
        <v>164</v>
      </c>
      <c r="I1943" s="27">
        <v>2020</v>
      </c>
      <c r="J1943" s="29" t="s">
        <v>6349</v>
      </c>
      <c r="K1943" s="27">
        <v>9785961432800</v>
      </c>
      <c r="L1943" s="29" t="s">
        <v>6350</v>
      </c>
      <c r="M1943" s="27">
        <v>128</v>
      </c>
      <c r="N1943" s="30">
        <v>0.25</v>
      </c>
      <c r="O1943" s="27">
        <v>131</v>
      </c>
      <c r="P1943" s="27">
        <v>206</v>
      </c>
      <c r="Q1943" s="27">
        <v>16</v>
      </c>
      <c r="R1943" s="29" t="s">
        <v>82</v>
      </c>
      <c r="S1943" s="29" t="s">
        <v>5509</v>
      </c>
      <c r="T1943" s="28">
        <v>5000</v>
      </c>
      <c r="U1943" s="29" t="s">
        <v>52</v>
      </c>
      <c r="V1943" s="29" t="s">
        <v>269</v>
      </c>
      <c r="W1943" s="27">
        <v>10</v>
      </c>
      <c r="X1943" s="37" t="str">
        <f>HYPERLINK("https://www.alpinabook.ru/catalog/book-609639","ссылка на книгу")</f>
        <v>ссылка на книгу</v>
      </c>
      <c r="Y1943" s="38" t="str">
        <f>HYPERLINK("","")</f>
        <v/>
      </c>
      <c r="Z1943" s="29"/>
      <c r="AT1943" s="1">
        <f t="shared" si="365"/>
        <v>0</v>
      </c>
      <c r="AU1943" s="1">
        <f t="shared" si="366"/>
        <v>0</v>
      </c>
      <c r="AV1943" s="1">
        <f t="shared" si="367"/>
        <v>0</v>
      </c>
      <c r="AW1943" s="1">
        <f t="shared" si="368"/>
        <v>0</v>
      </c>
      <c r="AX1943" s="1">
        <f t="shared" si="369"/>
        <v>0</v>
      </c>
    </row>
    <row r="1944" spans="1:50" s="1" customFormat="1" ht="24.95" customHeight="1" outlineLevel="3" x14ac:dyDescent="0.2">
      <c r="A1944" s="11"/>
      <c r="B1944" s="12">
        <v>440</v>
      </c>
      <c r="C1944" s="12">
        <v>690</v>
      </c>
      <c r="D1944" s="12">
        <v>32113</v>
      </c>
      <c r="E1944" s="13" t="s">
        <v>5505</v>
      </c>
      <c r="F1944" s="13" t="s">
        <v>6351</v>
      </c>
      <c r="G1944" s="13" t="s">
        <v>163</v>
      </c>
      <c r="H1944" s="13" t="s">
        <v>164</v>
      </c>
      <c r="I1944" s="12">
        <v>2025</v>
      </c>
      <c r="J1944" s="13" t="s">
        <v>6352</v>
      </c>
      <c r="K1944" s="12">
        <v>9785006301467</v>
      </c>
      <c r="L1944" s="13" t="s">
        <v>6353</v>
      </c>
      <c r="M1944" s="12">
        <v>32</v>
      </c>
      <c r="N1944" s="14">
        <v>0.2</v>
      </c>
      <c r="O1944" s="12">
        <v>190</v>
      </c>
      <c r="P1944" s="12">
        <v>180</v>
      </c>
      <c r="Q1944" s="12">
        <v>18</v>
      </c>
      <c r="R1944" s="13" t="s">
        <v>100</v>
      </c>
      <c r="S1944" s="13" t="s">
        <v>5509</v>
      </c>
      <c r="T1944" s="15">
        <v>1500</v>
      </c>
      <c r="U1944" s="13" t="s">
        <v>52</v>
      </c>
      <c r="V1944" s="13" t="s">
        <v>64</v>
      </c>
      <c r="W1944" s="12">
        <v>10</v>
      </c>
      <c r="X1944" s="33" t="str">
        <f>HYPERLINK("https://www.alpinabook.ru/catalog/book-konni-spasaet-zaytsa","ссылка на книгу")</f>
        <v>ссылка на книгу</v>
      </c>
      <c r="Y1944" s="34" t="str">
        <f>HYPERLINK("https://api-enni.alpina.ru/FileCertificateProject/587","https://api-enni.alpina.ru/FileCertificateProject/587")</f>
        <v>https://api-enni.alpina.ru/FileCertificateProject/587</v>
      </c>
      <c r="Z1944" s="13"/>
      <c r="AT1944" s="1">
        <f t="shared" si="365"/>
        <v>0</v>
      </c>
      <c r="AU1944" s="1">
        <f t="shared" si="366"/>
        <v>0</v>
      </c>
      <c r="AV1944" s="1">
        <f t="shared" si="367"/>
        <v>0</v>
      </c>
      <c r="AW1944" s="1">
        <f t="shared" si="368"/>
        <v>0</v>
      </c>
      <c r="AX1944" s="1">
        <f t="shared" si="369"/>
        <v>0</v>
      </c>
    </row>
    <row r="1945" spans="1:50" s="1" customFormat="1" ht="24.95" customHeight="1" outlineLevel="3" x14ac:dyDescent="0.2">
      <c r="A1945" s="11"/>
      <c r="B1945" s="12">
        <v>490</v>
      </c>
      <c r="C1945" s="12">
        <v>740</v>
      </c>
      <c r="D1945" s="12">
        <v>28910</v>
      </c>
      <c r="E1945" s="13" t="s">
        <v>5505</v>
      </c>
      <c r="F1945" s="13" t="s">
        <v>6354</v>
      </c>
      <c r="G1945" s="13" t="s">
        <v>163</v>
      </c>
      <c r="H1945" s="13" t="s">
        <v>164</v>
      </c>
      <c r="I1945" s="12">
        <v>2025</v>
      </c>
      <c r="J1945" s="13" t="s">
        <v>6355</v>
      </c>
      <c r="K1945" s="12">
        <v>9785961490695</v>
      </c>
      <c r="L1945" s="13" t="s">
        <v>6356</v>
      </c>
      <c r="M1945" s="12">
        <v>30</v>
      </c>
      <c r="N1945" s="14">
        <v>0.15</v>
      </c>
      <c r="O1945" s="12">
        <v>180</v>
      </c>
      <c r="P1945" s="12">
        <v>190</v>
      </c>
      <c r="Q1945" s="12">
        <v>20</v>
      </c>
      <c r="R1945" s="13" t="s">
        <v>100</v>
      </c>
      <c r="S1945" s="13" t="s">
        <v>5509</v>
      </c>
      <c r="T1945" s="15">
        <v>1500</v>
      </c>
      <c r="U1945" s="13" t="s">
        <v>52</v>
      </c>
      <c r="V1945" s="13" t="s">
        <v>64</v>
      </c>
      <c r="W1945" s="12">
        <v>10</v>
      </c>
      <c r="X1945" s="33" t="str">
        <f>HYPERLINK("https://www.alpinabook.ru/catalog/book-konni-ssoritsya-s-podrugoy","ссылка на книгу")</f>
        <v>ссылка на книгу</v>
      </c>
      <c r="Y1945" s="34" t="str">
        <f>HYPERLINK("https://api-enni.alpina.ru/FileCertificateProject/523","https://api-enni.alpina.ru/FileCertificateProject/523")</f>
        <v>https://api-enni.alpina.ru/FileCertificateProject/523</v>
      </c>
      <c r="Z1945" s="13" t="s">
        <v>4062</v>
      </c>
      <c r="AT1945" s="1">
        <f t="shared" si="365"/>
        <v>0</v>
      </c>
      <c r="AU1945" s="1">
        <f t="shared" si="366"/>
        <v>0</v>
      </c>
      <c r="AV1945" s="1">
        <f t="shared" si="367"/>
        <v>0</v>
      </c>
      <c r="AW1945" s="1">
        <f t="shared" si="368"/>
        <v>0</v>
      </c>
      <c r="AX1945" s="1">
        <f t="shared" si="369"/>
        <v>0</v>
      </c>
    </row>
    <row r="1946" spans="1:50" s="1" customFormat="1" ht="24.95" customHeight="1" outlineLevel="3" x14ac:dyDescent="0.2">
      <c r="A1946" s="11"/>
      <c r="B1946" s="12">
        <v>840</v>
      </c>
      <c r="C1946" s="12">
        <v>840</v>
      </c>
      <c r="D1946" s="12">
        <v>19264</v>
      </c>
      <c r="E1946" s="13" t="s">
        <v>6357</v>
      </c>
      <c r="F1946" s="13" t="s">
        <v>6358</v>
      </c>
      <c r="G1946" s="13" t="s">
        <v>163</v>
      </c>
      <c r="H1946" s="13" t="s">
        <v>164</v>
      </c>
      <c r="I1946" s="12">
        <v>2025</v>
      </c>
      <c r="J1946" s="13" t="s">
        <v>6359</v>
      </c>
      <c r="K1946" s="12">
        <v>9785961438741</v>
      </c>
      <c r="L1946" s="13" t="s">
        <v>6360</v>
      </c>
      <c r="M1946" s="12">
        <v>16</v>
      </c>
      <c r="N1946" s="14">
        <v>0.28000000000000003</v>
      </c>
      <c r="O1946" s="12">
        <v>230</v>
      </c>
      <c r="P1946" s="12">
        <v>250</v>
      </c>
      <c r="Q1946" s="12">
        <v>5</v>
      </c>
      <c r="R1946" s="13" t="s">
        <v>300</v>
      </c>
      <c r="S1946" s="13" t="s">
        <v>5509</v>
      </c>
      <c r="T1946" s="15">
        <v>2500</v>
      </c>
      <c r="U1946" s="13" t="s">
        <v>52</v>
      </c>
      <c r="V1946" s="13" t="s">
        <v>64</v>
      </c>
      <c r="W1946" s="12">
        <v>10</v>
      </c>
      <c r="X1946" s="33" t="str">
        <f>HYPERLINK("https://www.alpinabook.ru/catalog/book-konni-u-vracha-karton","ссылка на книгу")</f>
        <v>ссылка на книгу</v>
      </c>
      <c r="Y1946" s="34" t="str">
        <f>HYPERLINK("https://api-enni.alpina.ru/FileCertificateProject/581","https://api-enni.alpina.ru/FileCertificateProject/581")</f>
        <v>https://api-enni.alpina.ru/FileCertificateProject/581</v>
      </c>
      <c r="Z1946" s="13"/>
      <c r="AT1946" s="1">
        <f t="shared" si="365"/>
        <v>0</v>
      </c>
      <c r="AU1946" s="1">
        <f t="shared" si="366"/>
        <v>0</v>
      </c>
      <c r="AV1946" s="1">
        <f t="shared" si="367"/>
        <v>0</v>
      </c>
      <c r="AW1946" s="1">
        <f t="shared" si="368"/>
        <v>0</v>
      </c>
      <c r="AX1946" s="1">
        <f t="shared" si="369"/>
        <v>0</v>
      </c>
    </row>
    <row r="1947" spans="1:50" s="1" customFormat="1" ht="24.95" customHeight="1" outlineLevel="3" x14ac:dyDescent="0.2">
      <c r="A1947" s="11"/>
      <c r="B1947" s="12">
        <v>490</v>
      </c>
      <c r="C1947" s="12">
        <v>740</v>
      </c>
      <c r="D1947" s="12">
        <v>30136</v>
      </c>
      <c r="E1947" s="13" t="s">
        <v>5505</v>
      </c>
      <c r="F1947" s="13" t="s">
        <v>6361</v>
      </c>
      <c r="G1947" s="13" t="s">
        <v>163</v>
      </c>
      <c r="H1947" s="13" t="s">
        <v>164</v>
      </c>
      <c r="I1947" s="12">
        <v>2025</v>
      </c>
      <c r="J1947" s="13" t="s">
        <v>6362</v>
      </c>
      <c r="K1947" s="12">
        <v>9785961494822</v>
      </c>
      <c r="L1947" s="13" t="s">
        <v>6363</v>
      </c>
      <c r="M1947" s="12">
        <v>30</v>
      </c>
      <c r="N1947" s="14">
        <v>0.17</v>
      </c>
      <c r="O1947" s="12">
        <v>180</v>
      </c>
      <c r="P1947" s="12">
        <v>190</v>
      </c>
      <c r="Q1947" s="12">
        <v>20</v>
      </c>
      <c r="R1947" s="13" t="s">
        <v>100</v>
      </c>
      <c r="S1947" s="13" t="s">
        <v>5509</v>
      </c>
      <c r="T1947" s="15">
        <v>1500</v>
      </c>
      <c r="U1947" s="13" t="s">
        <v>52</v>
      </c>
      <c r="V1947" s="13" t="s">
        <v>64</v>
      </c>
      <c r="W1947" s="12">
        <v>10</v>
      </c>
      <c r="X1947" s="33" t="str">
        <f>HYPERLINK("https://www.alpinabook.ru/catalog/book-konni-u-zubnogo-vracha","ссылка на книгу")</f>
        <v>ссылка на книгу</v>
      </c>
      <c r="Y1947" s="34" t="str">
        <f>HYPERLINK("https://api-enni.alpina.ru/FileCertificateProject/461","https://api-enni.alpina.ru/FileCertificateProject/461")</f>
        <v>https://api-enni.alpina.ru/FileCertificateProject/461</v>
      </c>
      <c r="Z1947" s="13" t="s">
        <v>77</v>
      </c>
      <c r="AT1947" s="1">
        <f t="shared" si="365"/>
        <v>0</v>
      </c>
      <c r="AU1947" s="1">
        <f t="shared" si="366"/>
        <v>0</v>
      </c>
      <c r="AV1947" s="1">
        <f t="shared" si="367"/>
        <v>0</v>
      </c>
      <c r="AW1947" s="1">
        <f t="shared" si="368"/>
        <v>0</v>
      </c>
      <c r="AX1947" s="1">
        <f t="shared" si="369"/>
        <v>0</v>
      </c>
    </row>
    <row r="1948" spans="1:50" s="1" customFormat="1" ht="21.95" customHeight="1" outlineLevel="3" x14ac:dyDescent="0.2">
      <c r="A1948" s="11"/>
      <c r="B1948" s="12">
        <v>490</v>
      </c>
      <c r="C1948" s="12">
        <v>740</v>
      </c>
      <c r="D1948" s="12">
        <v>29034</v>
      </c>
      <c r="E1948" s="13" t="s">
        <v>6214</v>
      </c>
      <c r="F1948" s="13" t="s">
        <v>6364</v>
      </c>
      <c r="G1948" s="13" t="s">
        <v>163</v>
      </c>
      <c r="H1948" s="13" t="s">
        <v>164</v>
      </c>
      <c r="I1948" s="12">
        <v>2025</v>
      </c>
      <c r="J1948" s="13" t="s">
        <v>6365</v>
      </c>
      <c r="K1948" s="12">
        <v>9785961491142</v>
      </c>
      <c r="L1948" s="13" t="s">
        <v>6366</v>
      </c>
      <c r="M1948" s="12">
        <v>32</v>
      </c>
      <c r="N1948" s="14">
        <v>0.15</v>
      </c>
      <c r="O1948" s="12">
        <v>180</v>
      </c>
      <c r="P1948" s="12">
        <v>190</v>
      </c>
      <c r="Q1948" s="12">
        <v>20</v>
      </c>
      <c r="R1948" s="13" t="s">
        <v>100</v>
      </c>
      <c r="S1948" s="13" t="s">
        <v>5509</v>
      </c>
      <c r="T1948" s="15">
        <v>1500</v>
      </c>
      <c r="U1948" s="13" t="s">
        <v>52</v>
      </c>
      <c r="V1948" s="13" t="s">
        <v>64</v>
      </c>
      <c r="W1948" s="12">
        <v>10</v>
      </c>
      <c r="X1948" s="33" t="str">
        <f>HYPERLINK("https://www.alpinabook.ru/catalog/book-konni-uchitsya-opredelyat-vremya","ссылка на книгу")</f>
        <v>ссылка на книгу</v>
      </c>
      <c r="Y1948" s="34" t="str">
        <f>HYPERLINK("","")</f>
        <v/>
      </c>
      <c r="Z1948" s="13" t="s">
        <v>77</v>
      </c>
      <c r="AT1948" s="1">
        <f t="shared" si="365"/>
        <v>0</v>
      </c>
      <c r="AU1948" s="1">
        <f t="shared" si="366"/>
        <v>0</v>
      </c>
      <c r="AV1948" s="1">
        <f t="shared" si="367"/>
        <v>0</v>
      </c>
      <c r="AW1948" s="1">
        <f t="shared" si="368"/>
        <v>0</v>
      </c>
      <c r="AX1948" s="1">
        <f t="shared" si="369"/>
        <v>0</v>
      </c>
    </row>
    <row r="1949" spans="1:50" s="1" customFormat="1" ht="24.95" customHeight="1" outlineLevel="3" x14ac:dyDescent="0.2">
      <c r="A1949" s="11"/>
      <c r="B1949" s="12">
        <v>440</v>
      </c>
      <c r="C1949" s="12">
        <v>690</v>
      </c>
      <c r="D1949" s="12">
        <v>32490</v>
      </c>
      <c r="E1949" s="13" t="s">
        <v>5505</v>
      </c>
      <c r="F1949" s="13" t="s">
        <v>6367</v>
      </c>
      <c r="G1949" s="13" t="s">
        <v>163</v>
      </c>
      <c r="H1949" s="13" t="s">
        <v>164</v>
      </c>
      <c r="I1949" s="12">
        <v>2025</v>
      </c>
      <c r="J1949" s="13" t="s">
        <v>6368</v>
      </c>
      <c r="K1949" s="12">
        <v>9785006302358</v>
      </c>
      <c r="L1949" s="13" t="s">
        <v>6369</v>
      </c>
      <c r="M1949" s="12">
        <v>32</v>
      </c>
      <c r="N1949" s="14">
        <v>0.2</v>
      </c>
      <c r="O1949" s="12">
        <v>190</v>
      </c>
      <c r="P1949" s="12">
        <v>180</v>
      </c>
      <c r="Q1949" s="12">
        <v>18</v>
      </c>
      <c r="R1949" s="13" t="s">
        <v>100</v>
      </c>
      <c r="S1949" s="13" t="s">
        <v>5509</v>
      </c>
      <c r="T1949" s="15">
        <v>1500</v>
      </c>
      <c r="U1949" s="13" t="s">
        <v>52</v>
      </c>
      <c r="V1949" s="13" t="s">
        <v>64</v>
      </c>
      <c r="W1949" s="12">
        <v>10</v>
      </c>
      <c r="X1949" s="33" t="str">
        <f>HYPERLINK("https://www.alpinabook.ru/catalog/book-konni-chitaet","ссылка на книгу")</f>
        <v>ссылка на книгу</v>
      </c>
      <c r="Y1949" s="34" t="str">
        <f>HYPERLINK("https://api-enni.alpina.ru/FileCertificateProject/588","https://api-enni.alpina.ru/FileCertificateProject/588")</f>
        <v>https://api-enni.alpina.ru/FileCertificateProject/588</v>
      </c>
      <c r="Z1949" s="13"/>
      <c r="AT1949" s="1">
        <f t="shared" si="365"/>
        <v>0</v>
      </c>
      <c r="AU1949" s="1">
        <f t="shared" si="366"/>
        <v>0</v>
      </c>
      <c r="AV1949" s="1">
        <f t="shared" si="367"/>
        <v>0</v>
      </c>
      <c r="AW1949" s="1">
        <f t="shared" si="368"/>
        <v>0</v>
      </c>
      <c r="AX1949" s="1">
        <f t="shared" si="369"/>
        <v>0</v>
      </c>
    </row>
    <row r="1950" spans="1:50" s="1" customFormat="1" ht="24.95" customHeight="1" outlineLevel="3" x14ac:dyDescent="0.2">
      <c r="A1950" s="11"/>
      <c r="B1950" s="12">
        <v>180</v>
      </c>
      <c r="C1950" s="12">
        <v>290</v>
      </c>
      <c r="D1950" s="12">
        <v>28034</v>
      </c>
      <c r="E1950" s="13" t="s">
        <v>6214</v>
      </c>
      <c r="F1950" s="13" t="s">
        <v>6370</v>
      </c>
      <c r="G1950" s="13" t="s">
        <v>163</v>
      </c>
      <c r="H1950" s="13" t="s">
        <v>164</v>
      </c>
      <c r="I1950" s="12">
        <v>2023</v>
      </c>
      <c r="J1950" s="13" t="s">
        <v>6371</v>
      </c>
      <c r="K1950" s="12">
        <v>9785961487114</v>
      </c>
      <c r="L1950" s="13" t="s">
        <v>6372</v>
      </c>
      <c r="M1950" s="12">
        <v>32</v>
      </c>
      <c r="N1950" s="14">
        <v>0.1</v>
      </c>
      <c r="O1950" s="12">
        <v>230</v>
      </c>
      <c r="P1950" s="12">
        <v>260</v>
      </c>
      <c r="Q1950" s="12">
        <v>30</v>
      </c>
      <c r="R1950" s="13" t="s">
        <v>300</v>
      </c>
      <c r="S1950" s="13" t="s">
        <v>5509</v>
      </c>
      <c r="T1950" s="15">
        <v>4020</v>
      </c>
      <c r="U1950" s="13" t="s">
        <v>44</v>
      </c>
      <c r="V1950" s="13" t="s">
        <v>64</v>
      </c>
      <c r="W1950" s="12">
        <v>10</v>
      </c>
      <c r="X1950" s="33" t="str">
        <f>HYPERLINK("https://www.alpinabook.ru/catalog/book-labirinty-s-konni","ссылка на книгу")</f>
        <v>ссылка на книгу</v>
      </c>
      <c r="Y1950" s="34" t="str">
        <f>HYPERLINK("https://api-enni.alpina.ru/FileCertificateProject/28","https://api-enni.alpina.ru/FileCertificateProject/28")</f>
        <v>https://api-enni.alpina.ru/FileCertificateProject/28</v>
      </c>
      <c r="Z1950" s="13"/>
      <c r="AT1950" s="1">
        <f t="shared" si="365"/>
        <v>0</v>
      </c>
      <c r="AU1950" s="1">
        <f t="shared" si="366"/>
        <v>0</v>
      </c>
      <c r="AV1950" s="1">
        <f t="shared" si="367"/>
        <v>0</v>
      </c>
      <c r="AW1950" s="1">
        <f t="shared" si="368"/>
        <v>0</v>
      </c>
      <c r="AX1950" s="1">
        <f t="shared" si="369"/>
        <v>0</v>
      </c>
    </row>
    <row r="1951" spans="1:50" s="1" customFormat="1" ht="24.95" customHeight="1" outlineLevel="3" x14ac:dyDescent="0.2">
      <c r="A1951" s="26"/>
      <c r="B1951" s="27">
        <v>180</v>
      </c>
      <c r="C1951" s="27">
        <v>290</v>
      </c>
      <c r="D1951" s="27">
        <v>28026</v>
      </c>
      <c r="E1951" s="29" t="s">
        <v>6373</v>
      </c>
      <c r="F1951" s="29" t="s">
        <v>6374</v>
      </c>
      <c r="G1951" s="29" t="s">
        <v>163</v>
      </c>
      <c r="H1951" s="29" t="s">
        <v>164</v>
      </c>
      <c r="I1951" s="27">
        <v>2023</v>
      </c>
      <c r="J1951" s="29" t="s">
        <v>6375</v>
      </c>
      <c r="K1951" s="27">
        <v>9785961487060</v>
      </c>
      <c r="L1951" s="29" t="s">
        <v>6376</v>
      </c>
      <c r="M1951" s="27">
        <v>32</v>
      </c>
      <c r="N1951" s="30">
        <v>0.1</v>
      </c>
      <c r="O1951" s="27">
        <v>200</v>
      </c>
      <c r="P1951" s="27">
        <v>260</v>
      </c>
      <c r="Q1951" s="27">
        <v>30</v>
      </c>
      <c r="R1951" s="29" t="s">
        <v>300</v>
      </c>
      <c r="S1951" s="29" t="s">
        <v>5509</v>
      </c>
      <c r="T1951" s="28">
        <v>2000</v>
      </c>
      <c r="U1951" s="29" t="s">
        <v>44</v>
      </c>
      <c r="V1951" s="29" t="s">
        <v>64</v>
      </c>
      <c r="W1951" s="27">
        <v>10</v>
      </c>
      <c r="X1951" s="37" t="str">
        <f>HYPERLINK("https://www.alpinabook.ru/catalog/book-vremena-goda-s-konni-igry-i-golovolomki","ссылка на книгу")</f>
        <v>ссылка на книгу</v>
      </c>
      <c r="Y1951" s="38" t="str">
        <f>HYPERLINK("","")</f>
        <v/>
      </c>
      <c r="Z1951" s="29"/>
      <c r="AT1951" s="1">
        <f t="shared" si="365"/>
        <v>0</v>
      </c>
      <c r="AU1951" s="1">
        <f t="shared" si="366"/>
        <v>0</v>
      </c>
      <c r="AV1951" s="1">
        <f t="shared" si="367"/>
        <v>0</v>
      </c>
      <c r="AW1951" s="1">
        <f t="shared" si="368"/>
        <v>0</v>
      </c>
      <c r="AX1951" s="1">
        <f t="shared" si="369"/>
        <v>0</v>
      </c>
    </row>
    <row r="1952" spans="1:50" s="1" customFormat="1" ht="24.95" customHeight="1" outlineLevel="3" x14ac:dyDescent="0.2">
      <c r="A1952" s="11"/>
      <c r="B1952" s="12">
        <v>180</v>
      </c>
      <c r="C1952" s="12">
        <v>290</v>
      </c>
      <c r="D1952" s="12">
        <v>28036</v>
      </c>
      <c r="E1952" s="13" t="s">
        <v>283</v>
      </c>
      <c r="F1952" s="13" t="s">
        <v>6377</v>
      </c>
      <c r="G1952" s="13" t="s">
        <v>163</v>
      </c>
      <c r="H1952" s="13"/>
      <c r="I1952" s="12">
        <v>2023</v>
      </c>
      <c r="J1952" s="13" t="s">
        <v>6378</v>
      </c>
      <c r="K1952" s="12">
        <v>9785961487138</v>
      </c>
      <c r="L1952" s="13" t="s">
        <v>6379</v>
      </c>
      <c r="M1952" s="12">
        <v>32</v>
      </c>
      <c r="N1952" s="14">
        <v>0.1</v>
      </c>
      <c r="O1952" s="12">
        <v>200</v>
      </c>
      <c r="P1952" s="12">
        <v>260</v>
      </c>
      <c r="Q1952" s="12">
        <v>30</v>
      </c>
      <c r="R1952" s="13" t="s">
        <v>300</v>
      </c>
      <c r="S1952" s="13" t="s">
        <v>5509</v>
      </c>
      <c r="T1952" s="15">
        <v>4020</v>
      </c>
      <c r="U1952" s="13" t="s">
        <v>44</v>
      </c>
      <c r="V1952" s="13" t="s">
        <v>269</v>
      </c>
      <c r="W1952" s="12">
        <v>10</v>
      </c>
      <c r="X1952" s="33" t="str">
        <f>HYPERLINK("https://www.alpinabook.ru/catalog/book-logika-matematicheskie-raskraski","ссылка на книгу")</f>
        <v>ссылка на книгу</v>
      </c>
      <c r="Y1952" s="34" t="str">
        <f>HYPERLINK("https://api-enni.alpina.ru/FileCertificateProject/606","https://api-enni.alpina.ru/FileCertificateProject/606")</f>
        <v>https://api-enni.alpina.ru/FileCertificateProject/606</v>
      </c>
      <c r="Z1952" s="13"/>
      <c r="AT1952" s="1">
        <f t="shared" si="365"/>
        <v>0</v>
      </c>
      <c r="AU1952" s="1">
        <f t="shared" si="366"/>
        <v>0</v>
      </c>
      <c r="AV1952" s="1">
        <f t="shared" si="367"/>
        <v>0</v>
      </c>
      <c r="AW1952" s="1">
        <f t="shared" si="368"/>
        <v>0</v>
      </c>
      <c r="AX1952" s="1">
        <f t="shared" si="369"/>
        <v>0</v>
      </c>
    </row>
    <row r="1953" spans="1:50" s="1" customFormat="1" ht="24.95" customHeight="1" outlineLevel="3" x14ac:dyDescent="0.2">
      <c r="A1953" s="11"/>
      <c r="B1953" s="12">
        <v>180</v>
      </c>
      <c r="C1953" s="12">
        <v>290</v>
      </c>
      <c r="D1953" s="12">
        <v>28035</v>
      </c>
      <c r="E1953" s="13" t="s">
        <v>283</v>
      </c>
      <c r="F1953" s="13" t="s">
        <v>6380</v>
      </c>
      <c r="G1953" s="13" t="s">
        <v>163</v>
      </c>
      <c r="H1953" s="13" t="s">
        <v>164</v>
      </c>
      <c r="I1953" s="12">
        <v>2023</v>
      </c>
      <c r="J1953" s="13" t="s">
        <v>6381</v>
      </c>
      <c r="K1953" s="12">
        <v>9785961487121</v>
      </c>
      <c r="L1953" s="13" t="s">
        <v>6382</v>
      </c>
      <c r="M1953" s="12">
        <v>32</v>
      </c>
      <c r="N1953" s="14">
        <v>0.1</v>
      </c>
      <c r="O1953" s="12">
        <v>200</v>
      </c>
      <c r="P1953" s="12">
        <v>260</v>
      </c>
      <c r="Q1953" s="12">
        <v>30</v>
      </c>
      <c r="R1953" s="13" t="s">
        <v>300</v>
      </c>
      <c r="S1953" s="13" t="s">
        <v>5509</v>
      </c>
      <c r="T1953" s="15">
        <v>4020</v>
      </c>
      <c r="U1953" s="13" t="s">
        <v>44</v>
      </c>
      <c r="V1953" s="13" t="s">
        <v>269</v>
      </c>
      <c r="W1953" s="12">
        <v>10</v>
      </c>
      <c r="X1953" s="33" t="str">
        <f>HYPERLINK("https://www.alpinabook.ru/catalog/book-logika-sudoku","ссылка на книгу")</f>
        <v>ссылка на книгу</v>
      </c>
      <c r="Y1953" s="34" t="str">
        <f>HYPERLINK("https://api-enni.alpina.ru/FileCertificateProject/736","https://api-enni.alpina.ru/FileCertificateProject/736")</f>
        <v>https://api-enni.alpina.ru/FileCertificateProject/736</v>
      </c>
      <c r="Z1953" s="13"/>
      <c r="AT1953" s="1">
        <f t="shared" ref="AT1953:AT1986" si="370">IF($A1953&lt;&gt;0,1,0)</f>
        <v>0</v>
      </c>
      <c r="AU1953" s="1">
        <f t="shared" ref="AU1953:AU1986" si="371">$A1953*$B1953</f>
        <v>0</v>
      </c>
      <c r="AV1953" s="1">
        <f t="shared" ref="AV1953:AV1986" si="372">$A1953*$N1953</f>
        <v>0</v>
      </c>
      <c r="AW1953" s="1">
        <f t="shared" ref="AW1953:AW1986" si="373">IF($Q1953=0,0,INT($A1953/$Q1953))</f>
        <v>0</v>
      </c>
      <c r="AX1953" s="1">
        <f t="shared" ref="AX1953:AX1986" si="374">$A1953-$AW1953*$Q1953</f>
        <v>0</v>
      </c>
    </row>
    <row r="1954" spans="1:50" s="1" customFormat="1" ht="24.95" customHeight="1" outlineLevel="3" x14ac:dyDescent="0.2">
      <c r="A1954" s="11"/>
      <c r="B1954" s="12">
        <v>790</v>
      </c>
      <c r="C1954" s="12">
        <v>790</v>
      </c>
      <c r="D1954" s="12">
        <v>23469</v>
      </c>
      <c r="E1954" s="13" t="s">
        <v>6122</v>
      </c>
      <c r="F1954" s="13" t="s">
        <v>6383</v>
      </c>
      <c r="G1954" s="13" t="s">
        <v>163</v>
      </c>
      <c r="H1954" s="13" t="s">
        <v>164</v>
      </c>
      <c r="I1954" s="12">
        <v>2021</v>
      </c>
      <c r="J1954" s="13" t="s">
        <v>6384</v>
      </c>
      <c r="K1954" s="12">
        <v>9785961472738</v>
      </c>
      <c r="L1954" s="13" t="s">
        <v>6385</v>
      </c>
      <c r="M1954" s="12">
        <v>14</v>
      </c>
      <c r="N1954" s="14">
        <v>0.38</v>
      </c>
      <c r="O1954" s="12">
        <v>225</v>
      </c>
      <c r="P1954" s="12">
        <v>246</v>
      </c>
      <c r="Q1954" s="12">
        <v>35</v>
      </c>
      <c r="R1954" s="13" t="s">
        <v>300</v>
      </c>
      <c r="S1954" s="13" t="s">
        <v>5509</v>
      </c>
      <c r="T1954" s="15">
        <v>3000</v>
      </c>
      <c r="U1954" s="13" t="s">
        <v>52</v>
      </c>
      <c r="V1954" s="13" t="s">
        <v>64</v>
      </c>
      <c r="W1954" s="12">
        <v>10</v>
      </c>
      <c r="X1954" s="33" t="str">
        <f>HYPERLINK("https://www.alpinabook.ru/catalog/book-moy-pervyy-slovar-s-kartinkami","ссылка на книгу")</f>
        <v>ссылка на книгу</v>
      </c>
      <c r="Y1954" s="34" t="str">
        <f>HYPERLINK("https://api-enni.alpina.ru/FileCertificateProject/579","https://api-enni.alpina.ru/FileCertificateProject/579")</f>
        <v>https://api-enni.alpina.ru/FileCertificateProject/579</v>
      </c>
      <c r="Z1954" s="13"/>
      <c r="AT1954" s="1">
        <f t="shared" si="370"/>
        <v>0</v>
      </c>
      <c r="AU1954" s="1">
        <f t="shared" si="371"/>
        <v>0</v>
      </c>
      <c r="AV1954" s="1">
        <f t="shared" si="372"/>
        <v>0</v>
      </c>
      <c r="AW1954" s="1">
        <f t="shared" si="373"/>
        <v>0</v>
      </c>
      <c r="AX1954" s="1">
        <f t="shared" si="374"/>
        <v>0</v>
      </c>
    </row>
    <row r="1955" spans="1:50" s="1" customFormat="1" ht="24.95" customHeight="1" outlineLevel="3" x14ac:dyDescent="0.2">
      <c r="A1955" s="11"/>
      <c r="B1955" s="12">
        <v>400</v>
      </c>
      <c r="C1955" s="12">
        <v>400</v>
      </c>
      <c r="D1955" s="12">
        <v>25839</v>
      </c>
      <c r="E1955" s="13" t="s">
        <v>283</v>
      </c>
      <c r="F1955" s="13" t="s">
        <v>6386</v>
      </c>
      <c r="G1955" s="13" t="s">
        <v>163</v>
      </c>
      <c r="H1955" s="13" t="s">
        <v>164</v>
      </c>
      <c r="I1955" s="12">
        <v>2022</v>
      </c>
      <c r="J1955" s="13" t="s">
        <v>6387</v>
      </c>
      <c r="K1955" s="12">
        <v>9785961478167</v>
      </c>
      <c r="L1955" s="13" t="s">
        <v>6388</v>
      </c>
      <c r="M1955" s="12">
        <v>1</v>
      </c>
      <c r="N1955" s="14">
        <v>0.16</v>
      </c>
      <c r="O1955" s="12">
        <v>215</v>
      </c>
      <c r="P1955" s="12">
        <v>296</v>
      </c>
      <c r="Q1955" s="12">
        <v>40</v>
      </c>
      <c r="R1955" s="13" t="s">
        <v>167</v>
      </c>
      <c r="S1955" s="13" t="s">
        <v>5509</v>
      </c>
      <c r="T1955" s="15">
        <v>2000</v>
      </c>
      <c r="U1955" s="13" t="s">
        <v>52</v>
      </c>
      <c r="V1955" s="13" t="s">
        <v>64</v>
      </c>
      <c r="W1955" s="12">
        <v>20</v>
      </c>
      <c r="X1955" s="33" t="str">
        <f>HYPERLINK("https://www.alpinabook.ru/catalog/book-pazly-s-konni-detskiy-sad","ссылка на книгу")</f>
        <v>ссылка на книгу</v>
      </c>
      <c r="Y1955" s="34" t="str">
        <f>HYPERLINK("https://api-enni.alpina.ru/FileCertificateProject/340","https://api-enni.alpina.ru/FileCertificateProject/340")</f>
        <v>https://api-enni.alpina.ru/FileCertificateProject/340</v>
      </c>
      <c r="Z1955" s="13"/>
      <c r="AT1955" s="1">
        <f t="shared" si="370"/>
        <v>0</v>
      </c>
      <c r="AU1955" s="1">
        <f t="shared" si="371"/>
        <v>0</v>
      </c>
      <c r="AV1955" s="1">
        <f t="shared" si="372"/>
        <v>0</v>
      </c>
      <c r="AW1955" s="1">
        <f t="shared" si="373"/>
        <v>0</v>
      </c>
      <c r="AX1955" s="1">
        <f t="shared" si="374"/>
        <v>0</v>
      </c>
    </row>
    <row r="1956" spans="1:50" s="1" customFormat="1" ht="24.95" customHeight="1" outlineLevel="3" x14ac:dyDescent="0.2">
      <c r="A1956" s="11"/>
      <c r="B1956" s="12">
        <v>230</v>
      </c>
      <c r="C1956" s="12">
        <v>340</v>
      </c>
      <c r="D1956" s="12">
        <v>27774</v>
      </c>
      <c r="E1956" s="13" t="s">
        <v>283</v>
      </c>
      <c r="F1956" s="13" t="s">
        <v>6389</v>
      </c>
      <c r="G1956" s="13" t="s">
        <v>163</v>
      </c>
      <c r="H1956" s="13"/>
      <c r="I1956" s="12">
        <v>2023</v>
      </c>
      <c r="J1956" s="13" t="s">
        <v>6390</v>
      </c>
      <c r="K1956" s="12">
        <v>9785961486308</v>
      </c>
      <c r="L1956" s="13" t="s">
        <v>6391</v>
      </c>
      <c r="M1956" s="12">
        <v>1</v>
      </c>
      <c r="N1956" s="14">
        <v>7.0000000000000007E-2</v>
      </c>
      <c r="O1956" s="12">
        <v>100</v>
      </c>
      <c r="P1956" s="12">
        <v>100</v>
      </c>
      <c r="Q1956" s="12">
        <v>45</v>
      </c>
      <c r="R1956" s="13" t="s">
        <v>167</v>
      </c>
      <c r="S1956" s="13" t="s">
        <v>5509</v>
      </c>
      <c r="T1956" s="15">
        <v>2000</v>
      </c>
      <c r="U1956" s="13" t="s">
        <v>52</v>
      </c>
      <c r="V1956" s="13" t="s">
        <v>5626</v>
      </c>
      <c r="W1956" s="12">
        <v>20</v>
      </c>
      <c r="X1956" s="33" t="str">
        <f>HYPERLINK("https://www.alpinabook.ru/catalog/book-pazly-s-konni-vo-dvore","ссылка на книгу")</f>
        <v>ссылка на книгу</v>
      </c>
      <c r="Y1956" s="34" t="str">
        <f>HYPERLINK("https://api-enni.alpina.ru/FileCertificateProject/339","https://api-enni.alpina.ru/FileCertificateProject/339")</f>
        <v>https://api-enni.alpina.ru/FileCertificateProject/339</v>
      </c>
      <c r="Z1956" s="13"/>
      <c r="AT1956" s="1">
        <f t="shared" si="370"/>
        <v>0</v>
      </c>
      <c r="AU1956" s="1">
        <f t="shared" si="371"/>
        <v>0</v>
      </c>
      <c r="AV1956" s="1">
        <f t="shared" si="372"/>
        <v>0</v>
      </c>
      <c r="AW1956" s="1">
        <f t="shared" si="373"/>
        <v>0</v>
      </c>
      <c r="AX1956" s="1">
        <f t="shared" si="374"/>
        <v>0</v>
      </c>
    </row>
    <row r="1957" spans="1:50" s="1" customFormat="1" ht="24.95" customHeight="1" outlineLevel="3" x14ac:dyDescent="0.2">
      <c r="A1957" s="11"/>
      <c r="B1957" s="12">
        <v>230</v>
      </c>
      <c r="C1957" s="12">
        <v>340</v>
      </c>
      <c r="D1957" s="12">
        <v>27772</v>
      </c>
      <c r="E1957" s="13" t="s">
        <v>283</v>
      </c>
      <c r="F1957" s="13" t="s">
        <v>6392</v>
      </c>
      <c r="G1957" s="13" t="s">
        <v>163</v>
      </c>
      <c r="H1957" s="13"/>
      <c r="I1957" s="12">
        <v>2023</v>
      </c>
      <c r="J1957" s="13" t="s">
        <v>6393</v>
      </c>
      <c r="K1957" s="12">
        <v>9785961486285</v>
      </c>
      <c r="L1957" s="13" t="s">
        <v>6394</v>
      </c>
      <c r="M1957" s="12">
        <v>1</v>
      </c>
      <c r="N1957" s="14">
        <v>7.0000000000000007E-2</v>
      </c>
      <c r="O1957" s="12">
        <v>100</v>
      </c>
      <c r="P1957" s="12">
        <v>100</v>
      </c>
      <c r="Q1957" s="12">
        <v>45</v>
      </c>
      <c r="R1957" s="13" t="s">
        <v>167</v>
      </c>
      <c r="S1957" s="13" t="s">
        <v>5509</v>
      </c>
      <c r="T1957" s="15">
        <v>2000</v>
      </c>
      <c r="U1957" s="13" t="s">
        <v>52</v>
      </c>
      <c r="V1957" s="13" t="s">
        <v>5626</v>
      </c>
      <c r="W1957" s="12">
        <v>20</v>
      </c>
      <c r="X1957" s="33" t="str">
        <f>HYPERLINK("https://www.alpinabook.ru/catalog/book-pazly-s-konni-gotovim-pitstsu","ссылка на книгу")</f>
        <v>ссылка на книгу</v>
      </c>
      <c r="Y1957" s="34" t="str">
        <f>HYPERLINK("https://api-enni.alpina.ru/FileCertificateProject/337","https://api-enni.alpina.ru/FileCertificateProject/337")</f>
        <v>https://api-enni.alpina.ru/FileCertificateProject/337</v>
      </c>
      <c r="Z1957" s="13"/>
      <c r="AT1957" s="1">
        <f t="shared" si="370"/>
        <v>0</v>
      </c>
      <c r="AU1957" s="1">
        <f t="shared" si="371"/>
        <v>0</v>
      </c>
      <c r="AV1957" s="1">
        <f t="shared" si="372"/>
        <v>0</v>
      </c>
      <c r="AW1957" s="1">
        <f t="shared" si="373"/>
        <v>0</v>
      </c>
      <c r="AX1957" s="1">
        <f t="shared" si="374"/>
        <v>0</v>
      </c>
    </row>
    <row r="1958" spans="1:50" s="1" customFormat="1" ht="24.95" customHeight="1" outlineLevel="3" x14ac:dyDescent="0.2">
      <c r="A1958" s="11"/>
      <c r="B1958" s="12">
        <v>230</v>
      </c>
      <c r="C1958" s="12">
        <v>340</v>
      </c>
      <c r="D1958" s="12">
        <v>27773</v>
      </c>
      <c r="E1958" s="13" t="s">
        <v>283</v>
      </c>
      <c r="F1958" s="13" t="s">
        <v>6395</v>
      </c>
      <c r="G1958" s="13" t="s">
        <v>163</v>
      </c>
      <c r="H1958" s="13"/>
      <c r="I1958" s="12">
        <v>2023</v>
      </c>
      <c r="J1958" s="13" t="s">
        <v>6396</v>
      </c>
      <c r="K1958" s="12">
        <v>9785961486292</v>
      </c>
      <c r="L1958" s="13" t="s">
        <v>6397</v>
      </c>
      <c r="M1958" s="12">
        <v>1</v>
      </c>
      <c r="N1958" s="14">
        <v>7.0000000000000007E-2</v>
      </c>
      <c r="O1958" s="12">
        <v>100</v>
      </c>
      <c r="P1958" s="12">
        <v>100</v>
      </c>
      <c r="Q1958" s="12">
        <v>45</v>
      </c>
      <c r="R1958" s="13" t="s">
        <v>167</v>
      </c>
      <c r="S1958" s="13" t="s">
        <v>5509</v>
      </c>
      <c r="T1958" s="15">
        <v>2000</v>
      </c>
      <c r="U1958" s="13" t="s">
        <v>52</v>
      </c>
      <c r="V1958" s="13" t="s">
        <v>5626</v>
      </c>
      <c r="W1958" s="12">
        <v>20</v>
      </c>
      <c r="X1958" s="33" t="str">
        <f>HYPERLINK("https://www.alpinabook.ru/catalog/book-pazly-s-konni-den-rozhdeniya","ссылка на книгу")</f>
        <v>ссылка на книгу</v>
      </c>
      <c r="Y1958" s="34" t="str">
        <f>HYPERLINK("https://api-enni.alpina.ru/FileCertificateProject/338","https://api-enni.alpina.ru/FileCertificateProject/338")</f>
        <v>https://api-enni.alpina.ru/FileCertificateProject/338</v>
      </c>
      <c r="Z1958" s="13"/>
      <c r="AT1958" s="1">
        <f t="shared" si="370"/>
        <v>0</v>
      </c>
      <c r="AU1958" s="1">
        <f t="shared" si="371"/>
        <v>0</v>
      </c>
      <c r="AV1958" s="1">
        <f t="shared" si="372"/>
        <v>0</v>
      </c>
      <c r="AW1958" s="1">
        <f t="shared" si="373"/>
        <v>0</v>
      </c>
      <c r="AX1958" s="1">
        <f t="shared" si="374"/>
        <v>0</v>
      </c>
    </row>
    <row r="1959" spans="1:50" s="1" customFormat="1" ht="24.95" customHeight="1" outlineLevel="3" x14ac:dyDescent="0.2">
      <c r="A1959" s="11"/>
      <c r="B1959" s="12">
        <v>230</v>
      </c>
      <c r="C1959" s="12">
        <v>340</v>
      </c>
      <c r="D1959" s="12">
        <v>27771</v>
      </c>
      <c r="E1959" s="13" t="s">
        <v>283</v>
      </c>
      <c r="F1959" s="13" t="s">
        <v>6398</v>
      </c>
      <c r="G1959" s="13" t="s">
        <v>163</v>
      </c>
      <c r="H1959" s="13"/>
      <c r="I1959" s="12">
        <v>2023</v>
      </c>
      <c r="J1959" s="13" t="s">
        <v>6399</v>
      </c>
      <c r="K1959" s="12">
        <v>9785961486278</v>
      </c>
      <c r="L1959" s="13" t="s">
        <v>6400</v>
      </c>
      <c r="M1959" s="12">
        <v>1</v>
      </c>
      <c r="N1959" s="14">
        <v>7.0000000000000007E-2</v>
      </c>
      <c r="O1959" s="12">
        <v>100</v>
      </c>
      <c r="P1959" s="12">
        <v>100</v>
      </c>
      <c r="Q1959" s="12">
        <v>45</v>
      </c>
      <c r="R1959" s="13" t="s">
        <v>167</v>
      </c>
      <c r="S1959" s="13" t="s">
        <v>5509</v>
      </c>
      <c r="T1959" s="15">
        <v>2000</v>
      </c>
      <c r="U1959" s="13" t="s">
        <v>52</v>
      </c>
      <c r="V1959" s="13" t="s">
        <v>5626</v>
      </c>
      <c r="W1959" s="12">
        <v>20</v>
      </c>
      <c r="X1959" s="33" t="str">
        <f>HYPERLINK("https://www.alpinabook.ru/catalog/book-pazly-s-konni-ferma","ссылка на книгу")</f>
        <v>ссылка на книгу</v>
      </c>
      <c r="Y1959" s="34" t="str">
        <f>HYPERLINK("https://api-enni.alpina.ru/FileCertificateProject/336","https://api-enni.alpina.ru/FileCertificateProject/336")</f>
        <v>https://api-enni.alpina.ru/FileCertificateProject/336</v>
      </c>
      <c r="Z1959" s="13"/>
      <c r="AT1959" s="1">
        <f t="shared" si="370"/>
        <v>0</v>
      </c>
      <c r="AU1959" s="1">
        <f t="shared" si="371"/>
        <v>0</v>
      </c>
      <c r="AV1959" s="1">
        <f t="shared" si="372"/>
        <v>0</v>
      </c>
      <c r="AW1959" s="1">
        <f t="shared" si="373"/>
        <v>0</v>
      </c>
      <c r="AX1959" s="1">
        <f t="shared" si="374"/>
        <v>0</v>
      </c>
    </row>
    <row r="1960" spans="1:50" s="1" customFormat="1" ht="24.95" customHeight="1" outlineLevel="3" x14ac:dyDescent="0.2">
      <c r="A1960" s="11"/>
      <c r="B1960" s="12">
        <v>290</v>
      </c>
      <c r="C1960" s="12">
        <v>440</v>
      </c>
      <c r="D1960" s="12">
        <v>30973</v>
      </c>
      <c r="E1960" s="13" t="s">
        <v>283</v>
      </c>
      <c r="F1960" s="13" t="s">
        <v>6401</v>
      </c>
      <c r="G1960" s="13" t="s">
        <v>163</v>
      </c>
      <c r="H1960" s="13"/>
      <c r="I1960" s="12">
        <v>2024</v>
      </c>
      <c r="J1960" s="13" t="s">
        <v>6402</v>
      </c>
      <c r="K1960" s="12">
        <v>9785961497069</v>
      </c>
      <c r="L1960" s="13" t="s">
        <v>6403</v>
      </c>
      <c r="M1960" s="12">
        <v>56</v>
      </c>
      <c r="N1960" s="14">
        <v>0.17</v>
      </c>
      <c r="O1960" s="12">
        <v>200</v>
      </c>
      <c r="P1960" s="12">
        <v>260</v>
      </c>
      <c r="Q1960" s="12">
        <v>20</v>
      </c>
      <c r="R1960" s="13" t="s">
        <v>300</v>
      </c>
      <c r="S1960" s="13" t="s">
        <v>5509</v>
      </c>
      <c r="T1960" s="15">
        <v>3000</v>
      </c>
      <c r="U1960" s="13" t="s">
        <v>44</v>
      </c>
      <c r="V1960" s="13" t="s">
        <v>64</v>
      </c>
      <c r="W1960" s="12">
        <v>10</v>
      </c>
      <c r="X1960" s="33" t="str">
        <f>HYPERLINK("https://www.alpinabook.ru/catalog/book-poleznye-privychki-konni","ссылка на книгу")</f>
        <v>ссылка на книгу</v>
      </c>
      <c r="Y1960" s="34" t="str">
        <f>HYPERLINK("https://api-enni.alpina.ru/FileCertificateProject/710","https://api-enni.alpina.ru/FileCertificateProject/710")</f>
        <v>https://api-enni.alpina.ru/FileCertificateProject/710</v>
      </c>
      <c r="Z1960" s="13"/>
      <c r="AT1960" s="1">
        <f t="shared" si="370"/>
        <v>0</v>
      </c>
      <c r="AU1960" s="1">
        <f t="shared" si="371"/>
        <v>0</v>
      </c>
      <c r="AV1960" s="1">
        <f t="shared" si="372"/>
        <v>0</v>
      </c>
      <c r="AW1960" s="1">
        <f t="shared" si="373"/>
        <v>0</v>
      </c>
      <c r="AX1960" s="1">
        <f t="shared" si="374"/>
        <v>0</v>
      </c>
    </row>
    <row r="1961" spans="1:50" s="1" customFormat="1" ht="24.95" customHeight="1" outlineLevel="3" x14ac:dyDescent="0.2">
      <c r="A1961" s="11"/>
      <c r="B1961" s="12">
        <v>360</v>
      </c>
      <c r="C1961" s="12">
        <v>590</v>
      </c>
      <c r="D1961" s="12">
        <v>29630</v>
      </c>
      <c r="E1961" s="13" t="s">
        <v>5505</v>
      </c>
      <c r="F1961" s="13" t="s">
        <v>6404</v>
      </c>
      <c r="G1961" s="13" t="s">
        <v>163</v>
      </c>
      <c r="H1961" s="13" t="s">
        <v>164</v>
      </c>
      <c r="I1961" s="12">
        <v>2024</v>
      </c>
      <c r="J1961" s="13" t="s">
        <v>6405</v>
      </c>
      <c r="K1961" s="12">
        <v>9785961493191</v>
      </c>
      <c r="L1961" s="13" t="s">
        <v>6406</v>
      </c>
      <c r="M1961" s="12">
        <v>112</v>
      </c>
      <c r="N1961" s="14">
        <v>0.24</v>
      </c>
      <c r="O1961" s="12">
        <v>130</v>
      </c>
      <c r="P1961" s="12">
        <v>210</v>
      </c>
      <c r="Q1961" s="12">
        <v>22</v>
      </c>
      <c r="R1961" s="13" t="s">
        <v>82</v>
      </c>
      <c r="S1961" s="13" t="s">
        <v>5509</v>
      </c>
      <c r="T1961" s="15">
        <v>1500</v>
      </c>
      <c r="U1961" s="13" t="s">
        <v>52</v>
      </c>
      <c r="V1961" s="13" t="s">
        <v>269</v>
      </c>
      <c r="W1961" s="12">
        <v>10</v>
      </c>
      <c r="X1961" s="33" t="str">
        <f>HYPERLINK("https://www.alpinabook.ru/catalog/book-priklyucheniya-konni-v-bolshom-gorode","ссылка на книгу")</f>
        <v>ссылка на книгу</v>
      </c>
      <c r="Y1961" s="34" t="str">
        <f>HYPERLINK("https://api-enni.alpina.ru/FileCertificateProject/79","https://api-enni.alpina.ru/FileCertificateProject/79")</f>
        <v>https://api-enni.alpina.ru/FileCertificateProject/79</v>
      </c>
      <c r="Z1961" s="13"/>
      <c r="AT1961" s="1">
        <f t="shared" si="370"/>
        <v>0</v>
      </c>
      <c r="AU1961" s="1">
        <f t="shared" si="371"/>
        <v>0</v>
      </c>
      <c r="AV1961" s="1">
        <f t="shared" si="372"/>
        <v>0</v>
      </c>
      <c r="AW1961" s="1">
        <f t="shared" si="373"/>
        <v>0</v>
      </c>
      <c r="AX1961" s="1">
        <f t="shared" si="374"/>
        <v>0</v>
      </c>
    </row>
    <row r="1962" spans="1:50" s="1" customFormat="1" ht="24.95" customHeight="1" outlineLevel="3" x14ac:dyDescent="0.2">
      <c r="A1962" s="11"/>
      <c r="B1962" s="12">
        <v>590</v>
      </c>
      <c r="C1962" s="12">
        <v>840</v>
      </c>
      <c r="D1962" s="12">
        <v>30964</v>
      </c>
      <c r="E1962" s="13" t="s">
        <v>6266</v>
      </c>
      <c r="F1962" s="13" t="s">
        <v>6407</v>
      </c>
      <c r="G1962" s="13" t="s">
        <v>163</v>
      </c>
      <c r="H1962" s="13" t="s">
        <v>164</v>
      </c>
      <c r="I1962" s="12">
        <v>2024</v>
      </c>
      <c r="J1962" s="13" t="s">
        <v>6408</v>
      </c>
      <c r="K1962" s="12">
        <v>9785961497793</v>
      </c>
      <c r="L1962" s="13" t="s">
        <v>6409</v>
      </c>
      <c r="M1962" s="12">
        <v>112</v>
      </c>
      <c r="N1962" s="14">
        <v>0.24</v>
      </c>
      <c r="O1962" s="12">
        <v>140</v>
      </c>
      <c r="P1962" s="12">
        <v>210</v>
      </c>
      <c r="Q1962" s="12">
        <v>22</v>
      </c>
      <c r="R1962" s="13" t="s">
        <v>82</v>
      </c>
      <c r="S1962" s="13" t="s">
        <v>5509</v>
      </c>
      <c r="T1962" s="15">
        <v>2000</v>
      </c>
      <c r="U1962" s="13" t="s">
        <v>52</v>
      </c>
      <c r="V1962" s="13" t="s">
        <v>269</v>
      </c>
      <c r="W1962" s="12">
        <v>10</v>
      </c>
      <c r="X1962" s="33" t="str">
        <f>HYPERLINK("https://www.alpinabook.ru/catalog/book-priklyucheniya-konni-v-nochnom-lesu","ссылка на книгу")</f>
        <v>ссылка на книгу</v>
      </c>
      <c r="Y1962" s="34" t="str">
        <f>HYPERLINK("https://api-enni.alpina.ru/FileCertificateProject/485","https://api-enni.alpina.ru/FileCertificateProject/485")</f>
        <v>https://api-enni.alpina.ru/FileCertificateProject/485</v>
      </c>
      <c r="Z1962" s="13"/>
      <c r="AT1962" s="1">
        <f t="shared" si="370"/>
        <v>0</v>
      </c>
      <c r="AU1962" s="1">
        <f t="shared" si="371"/>
        <v>0</v>
      </c>
      <c r="AV1962" s="1">
        <f t="shared" si="372"/>
        <v>0</v>
      </c>
      <c r="AW1962" s="1">
        <f t="shared" si="373"/>
        <v>0</v>
      </c>
      <c r="AX1962" s="1">
        <f t="shared" si="374"/>
        <v>0</v>
      </c>
    </row>
    <row r="1963" spans="1:50" s="1" customFormat="1" ht="24.95" customHeight="1" outlineLevel="3" x14ac:dyDescent="0.2">
      <c r="A1963" s="11"/>
      <c r="B1963" s="12">
        <v>590</v>
      </c>
      <c r="C1963" s="12">
        <v>840</v>
      </c>
      <c r="D1963" s="12">
        <v>31553</v>
      </c>
      <c r="E1963" s="13" t="s">
        <v>6145</v>
      </c>
      <c r="F1963" s="13" t="s">
        <v>6410</v>
      </c>
      <c r="G1963" s="13" t="s">
        <v>163</v>
      </c>
      <c r="H1963" s="13" t="s">
        <v>164</v>
      </c>
      <c r="I1963" s="12">
        <v>2024</v>
      </c>
      <c r="J1963" s="13" t="s">
        <v>6411</v>
      </c>
      <c r="K1963" s="12">
        <v>9785961499230</v>
      </c>
      <c r="L1963" s="13" t="s">
        <v>6412</v>
      </c>
      <c r="M1963" s="12">
        <v>112</v>
      </c>
      <c r="N1963" s="14">
        <v>0.24</v>
      </c>
      <c r="O1963" s="12">
        <v>140</v>
      </c>
      <c r="P1963" s="12">
        <v>210</v>
      </c>
      <c r="Q1963" s="12">
        <v>20</v>
      </c>
      <c r="R1963" s="13" t="s">
        <v>82</v>
      </c>
      <c r="S1963" s="13" t="s">
        <v>5509</v>
      </c>
      <c r="T1963" s="15">
        <v>2000</v>
      </c>
      <c r="U1963" s="13" t="s">
        <v>52</v>
      </c>
      <c r="V1963" s="13" t="s">
        <v>269</v>
      </c>
      <c r="W1963" s="12">
        <v>10</v>
      </c>
      <c r="X1963" s="33" t="str">
        <f>HYPERLINK("https://www.alpinabook.ru/catalog/book-priklyucheniya-konni-na-zimnikh-kanikulakh","ссылка на книгу")</f>
        <v>ссылка на книгу</v>
      </c>
      <c r="Y1963" s="34" t="str">
        <f>HYPERLINK("https://api-enni.alpina.ru/FileCertificateProject/672","https://api-enni.alpina.ru/FileCertificateProject/672")</f>
        <v>https://api-enni.alpina.ru/FileCertificateProject/672</v>
      </c>
      <c r="Z1963" s="13"/>
      <c r="AT1963" s="1">
        <f t="shared" si="370"/>
        <v>0</v>
      </c>
      <c r="AU1963" s="1">
        <f t="shared" si="371"/>
        <v>0</v>
      </c>
      <c r="AV1963" s="1">
        <f t="shared" si="372"/>
        <v>0</v>
      </c>
      <c r="AW1963" s="1">
        <f t="shared" si="373"/>
        <v>0</v>
      </c>
      <c r="AX1963" s="1">
        <f t="shared" si="374"/>
        <v>0</v>
      </c>
    </row>
    <row r="1964" spans="1:50" s="1" customFormat="1" ht="24.95" customHeight="1" outlineLevel="3" x14ac:dyDescent="0.2">
      <c r="A1964" s="26"/>
      <c r="B1964" s="27">
        <v>390</v>
      </c>
      <c r="C1964" s="27">
        <v>640</v>
      </c>
      <c r="D1964" s="27">
        <v>23931</v>
      </c>
      <c r="E1964" s="29" t="s">
        <v>6145</v>
      </c>
      <c r="F1964" s="29" t="s">
        <v>6413</v>
      </c>
      <c r="G1964" s="29" t="s">
        <v>163</v>
      </c>
      <c r="H1964" s="29" t="s">
        <v>164</v>
      </c>
      <c r="I1964" s="27">
        <v>2022</v>
      </c>
      <c r="J1964" s="29" t="s">
        <v>6414</v>
      </c>
      <c r="K1964" s="27">
        <v>9785961474992</v>
      </c>
      <c r="L1964" s="29" t="s">
        <v>6415</v>
      </c>
      <c r="M1964" s="27">
        <v>112</v>
      </c>
      <c r="N1964" s="30">
        <v>0.24</v>
      </c>
      <c r="O1964" s="27">
        <v>131</v>
      </c>
      <c r="P1964" s="27">
        <v>206</v>
      </c>
      <c r="Q1964" s="27">
        <v>18</v>
      </c>
      <c r="R1964" s="29" t="s">
        <v>82</v>
      </c>
      <c r="S1964" s="29" t="s">
        <v>5509</v>
      </c>
      <c r="T1964" s="28">
        <v>3000</v>
      </c>
      <c r="U1964" s="29" t="s">
        <v>52</v>
      </c>
      <c r="V1964" s="29" t="s">
        <v>269</v>
      </c>
      <c r="W1964" s="27">
        <v>10</v>
      </c>
      <c r="X1964" s="37" t="str">
        <f>HYPERLINK("https://www.alpinabook.ru/catalog/book-priklyucheniya-konni-na-kanikulakh-u-babushki","ссылка на книгу")</f>
        <v>ссылка на книгу</v>
      </c>
      <c r="Y1964" s="38" t="str">
        <f>HYPERLINK("https://api-enni.alpina.ru/FileCertificateProject/681","https://api-enni.alpina.ru/FileCertificateProject/681")</f>
        <v>https://api-enni.alpina.ru/FileCertificateProject/681</v>
      </c>
      <c r="Z1964" s="29"/>
      <c r="AT1964" s="1">
        <f t="shared" si="370"/>
        <v>0</v>
      </c>
      <c r="AU1964" s="1">
        <f t="shared" si="371"/>
        <v>0</v>
      </c>
      <c r="AV1964" s="1">
        <f t="shared" si="372"/>
        <v>0</v>
      </c>
      <c r="AW1964" s="1">
        <f t="shared" si="373"/>
        <v>0</v>
      </c>
      <c r="AX1964" s="1">
        <f t="shared" si="374"/>
        <v>0</v>
      </c>
    </row>
    <row r="1965" spans="1:50" s="1" customFormat="1" ht="21.95" customHeight="1" outlineLevel="3" x14ac:dyDescent="0.2">
      <c r="A1965" s="11"/>
      <c r="B1965" s="12">
        <v>520</v>
      </c>
      <c r="C1965" s="12">
        <v>790</v>
      </c>
      <c r="D1965" s="12">
        <v>27253</v>
      </c>
      <c r="E1965" s="13" t="s">
        <v>6145</v>
      </c>
      <c r="F1965" s="13" t="s">
        <v>6416</v>
      </c>
      <c r="G1965" s="13" t="s">
        <v>163</v>
      </c>
      <c r="H1965" s="13" t="s">
        <v>164</v>
      </c>
      <c r="I1965" s="12">
        <v>2024</v>
      </c>
      <c r="J1965" s="13" t="s">
        <v>6417</v>
      </c>
      <c r="K1965" s="12">
        <v>9785961484397</v>
      </c>
      <c r="L1965" s="13" t="s">
        <v>6418</v>
      </c>
      <c r="M1965" s="12">
        <v>112</v>
      </c>
      <c r="N1965" s="14">
        <v>0.23</v>
      </c>
      <c r="O1965" s="12">
        <v>130</v>
      </c>
      <c r="P1965" s="12">
        <v>210</v>
      </c>
      <c r="Q1965" s="12">
        <v>22</v>
      </c>
      <c r="R1965" s="13" t="s">
        <v>82</v>
      </c>
      <c r="S1965" s="13" t="s">
        <v>5509</v>
      </c>
      <c r="T1965" s="15">
        <v>2000</v>
      </c>
      <c r="U1965" s="13" t="s">
        <v>52</v>
      </c>
      <c r="V1965" s="13" t="s">
        <v>269</v>
      </c>
      <c r="W1965" s="12">
        <v>10</v>
      </c>
      <c r="X1965" s="33" t="str">
        <f>HYPERLINK("https://www.alpinabook.ru/catalog/book-propavshiy-krolik","ссылка на книгу")</f>
        <v>ссылка на книгу</v>
      </c>
      <c r="Y1965" s="34" t="str">
        <f>HYPERLINK("","")</f>
        <v/>
      </c>
      <c r="Z1965" s="13"/>
      <c r="AT1965" s="1">
        <f t="shared" si="370"/>
        <v>0</v>
      </c>
      <c r="AU1965" s="1">
        <f t="shared" si="371"/>
        <v>0</v>
      </c>
      <c r="AV1965" s="1">
        <f t="shared" si="372"/>
        <v>0</v>
      </c>
      <c r="AW1965" s="1">
        <f t="shared" si="373"/>
        <v>0</v>
      </c>
      <c r="AX1965" s="1">
        <f t="shared" si="374"/>
        <v>0</v>
      </c>
    </row>
    <row r="1966" spans="1:50" s="1" customFormat="1" ht="24.95" customHeight="1" outlineLevel="3" x14ac:dyDescent="0.2">
      <c r="A1966" s="11"/>
      <c r="B1966" s="12">
        <v>390</v>
      </c>
      <c r="C1966" s="12">
        <v>390</v>
      </c>
      <c r="D1966" s="12">
        <v>23926</v>
      </c>
      <c r="E1966" s="13" t="s">
        <v>6214</v>
      </c>
      <c r="F1966" s="13" t="s">
        <v>6419</v>
      </c>
      <c r="G1966" s="13" t="s">
        <v>163</v>
      </c>
      <c r="H1966" s="13" t="s">
        <v>164</v>
      </c>
      <c r="I1966" s="12">
        <v>2022</v>
      </c>
      <c r="J1966" s="13" t="s">
        <v>6420</v>
      </c>
      <c r="K1966" s="12">
        <v>9785961474343</v>
      </c>
      <c r="L1966" s="13" t="s">
        <v>6421</v>
      </c>
      <c r="M1966" s="12">
        <v>32</v>
      </c>
      <c r="N1966" s="14">
        <v>0.28000000000000003</v>
      </c>
      <c r="O1966" s="12">
        <v>206</v>
      </c>
      <c r="P1966" s="12">
        <v>207</v>
      </c>
      <c r="Q1966" s="12">
        <v>18</v>
      </c>
      <c r="R1966" s="13" t="s">
        <v>167</v>
      </c>
      <c r="S1966" s="13" t="s">
        <v>5509</v>
      </c>
      <c r="T1966" s="15">
        <v>3000</v>
      </c>
      <c r="U1966" s="13" t="s">
        <v>52</v>
      </c>
      <c r="V1966" s="13" t="s">
        <v>64</v>
      </c>
      <c r="W1966" s="12">
        <v>10</v>
      </c>
      <c r="X1966" s="33" t="str">
        <f>HYPERLINK("https://www.alpinabook.ru/catalog/book-rastu-vmeste-s-konni","ссылка на книгу")</f>
        <v>ссылка на книгу</v>
      </c>
      <c r="Y1966" s="34" t="str">
        <f>HYPERLINK("https://api-enni.alpina.ru/FileCertificateProject/27","https://api-enni.alpina.ru/FileCertificateProject/27")</f>
        <v>https://api-enni.alpina.ru/FileCertificateProject/27</v>
      </c>
      <c r="Z1966" s="13"/>
      <c r="AT1966" s="1">
        <f t="shared" si="370"/>
        <v>0</v>
      </c>
      <c r="AU1966" s="1">
        <f t="shared" si="371"/>
        <v>0</v>
      </c>
      <c r="AV1966" s="1">
        <f t="shared" si="372"/>
        <v>0</v>
      </c>
      <c r="AW1966" s="1">
        <f t="shared" si="373"/>
        <v>0</v>
      </c>
      <c r="AX1966" s="1">
        <f t="shared" si="374"/>
        <v>0</v>
      </c>
    </row>
    <row r="1967" spans="1:50" s="1" customFormat="1" ht="24.95" customHeight="1" outlineLevel="3" x14ac:dyDescent="0.2">
      <c r="A1967" s="11"/>
      <c r="B1967" s="12">
        <v>290</v>
      </c>
      <c r="C1967" s="12">
        <v>440</v>
      </c>
      <c r="D1967" s="12">
        <v>29125</v>
      </c>
      <c r="E1967" s="13" t="s">
        <v>6214</v>
      </c>
      <c r="F1967" s="13" t="s">
        <v>6422</v>
      </c>
      <c r="G1967" s="13" t="s">
        <v>163</v>
      </c>
      <c r="H1967" s="13" t="s">
        <v>164</v>
      </c>
      <c r="I1967" s="12">
        <v>2024</v>
      </c>
      <c r="J1967" s="13" t="s">
        <v>6423</v>
      </c>
      <c r="K1967" s="12">
        <v>9785961491548</v>
      </c>
      <c r="L1967" s="13" t="s">
        <v>6424</v>
      </c>
      <c r="M1967" s="12">
        <v>56</v>
      </c>
      <c r="N1967" s="14">
        <v>0.16</v>
      </c>
      <c r="O1967" s="12">
        <v>200</v>
      </c>
      <c r="P1967" s="12">
        <v>260</v>
      </c>
      <c r="Q1967" s="12">
        <v>20</v>
      </c>
      <c r="R1967" s="13" t="s">
        <v>300</v>
      </c>
      <c r="S1967" s="13" t="s">
        <v>5509</v>
      </c>
      <c r="T1967" s="15">
        <v>2000</v>
      </c>
      <c r="U1967" s="13" t="s">
        <v>44</v>
      </c>
      <c r="V1967" s="13" t="s">
        <v>269</v>
      </c>
      <c r="W1967" s="12">
        <v>10</v>
      </c>
      <c r="X1967" s="33" t="str">
        <f>HYPERLINK("https://www.alpinabook.ru/catalog/book-risuem-po-tochkam-s-konni","ссылка на книгу")</f>
        <v>ссылка на книгу</v>
      </c>
      <c r="Y1967" s="34" t="str">
        <f>HYPERLINK("https://api-enni.alpina.ru/FileCertificateProject/32","https://api-enni.alpina.ru/FileCertificateProject/32")</f>
        <v>https://api-enni.alpina.ru/FileCertificateProject/32</v>
      </c>
      <c r="Z1967" s="13"/>
      <c r="AT1967" s="1">
        <f t="shared" si="370"/>
        <v>0</v>
      </c>
      <c r="AU1967" s="1">
        <f t="shared" si="371"/>
        <v>0</v>
      </c>
      <c r="AV1967" s="1">
        <f t="shared" si="372"/>
        <v>0</v>
      </c>
      <c r="AW1967" s="1">
        <f t="shared" si="373"/>
        <v>0</v>
      </c>
      <c r="AX1967" s="1">
        <f t="shared" si="374"/>
        <v>0</v>
      </c>
    </row>
    <row r="1968" spans="1:50" s="1" customFormat="1" ht="21.95" customHeight="1" outlineLevel="3" x14ac:dyDescent="0.2">
      <c r="A1968" s="11"/>
      <c r="B1968" s="12">
        <v>520</v>
      </c>
      <c r="C1968" s="12">
        <v>790</v>
      </c>
      <c r="D1968" s="12">
        <v>27251</v>
      </c>
      <c r="E1968" s="13" t="s">
        <v>6145</v>
      </c>
      <c r="F1968" s="13" t="s">
        <v>6425</v>
      </c>
      <c r="G1968" s="13" t="s">
        <v>163</v>
      </c>
      <c r="H1968" s="13" t="s">
        <v>164</v>
      </c>
      <c r="I1968" s="12">
        <v>2023</v>
      </c>
      <c r="J1968" s="13" t="s">
        <v>6426</v>
      </c>
      <c r="K1968" s="12">
        <v>9785961484380</v>
      </c>
      <c r="L1968" s="13" t="s">
        <v>6427</v>
      </c>
      <c r="M1968" s="12">
        <v>112</v>
      </c>
      <c r="N1968" s="14">
        <v>0.23</v>
      </c>
      <c r="O1968" s="12">
        <v>130</v>
      </c>
      <c r="P1968" s="12">
        <v>210</v>
      </c>
      <c r="Q1968" s="12">
        <v>22</v>
      </c>
      <c r="R1968" s="13" t="s">
        <v>82</v>
      </c>
      <c r="S1968" s="13" t="s">
        <v>5509</v>
      </c>
      <c r="T1968" s="15">
        <v>2000</v>
      </c>
      <c r="U1968" s="13" t="s">
        <v>52</v>
      </c>
      <c r="V1968" s="13" t="s">
        <v>269</v>
      </c>
      <c r="W1968" s="12">
        <v>10</v>
      </c>
      <c r="X1968" s="33" t="str">
        <f>HYPERLINK("https://www.alpinabook.ru/catalog/book-sekretnaya-missiya","ссылка на книгу")</f>
        <v>ссылка на книгу</v>
      </c>
      <c r="Y1968" s="34" t="str">
        <f>HYPERLINK("","")</f>
        <v/>
      </c>
      <c r="Z1968" s="13"/>
      <c r="AT1968" s="1">
        <f t="shared" si="370"/>
        <v>0</v>
      </c>
      <c r="AU1968" s="1">
        <f t="shared" si="371"/>
        <v>0</v>
      </c>
      <c r="AV1968" s="1">
        <f t="shared" si="372"/>
        <v>0</v>
      </c>
      <c r="AW1968" s="1">
        <f t="shared" si="373"/>
        <v>0</v>
      </c>
      <c r="AX1968" s="1">
        <f t="shared" si="374"/>
        <v>0</v>
      </c>
    </row>
    <row r="1969" spans="1:50" s="1" customFormat="1" ht="24.95" customHeight="1" outlineLevel="3" x14ac:dyDescent="0.2">
      <c r="A1969" s="11"/>
      <c r="B1969" s="12">
        <v>440</v>
      </c>
      <c r="C1969" s="12">
        <v>690</v>
      </c>
      <c r="D1969" s="12">
        <v>30104</v>
      </c>
      <c r="E1969" s="13" t="s">
        <v>5505</v>
      </c>
      <c r="F1969" s="13" t="s">
        <v>6428</v>
      </c>
      <c r="G1969" s="13" t="s">
        <v>163</v>
      </c>
      <c r="H1969" s="13" t="s">
        <v>164</v>
      </c>
      <c r="I1969" s="12">
        <v>2025</v>
      </c>
      <c r="J1969" s="13" t="s">
        <v>6429</v>
      </c>
      <c r="K1969" s="12">
        <v>9785961494778</v>
      </c>
      <c r="L1969" s="13" t="s">
        <v>6430</v>
      </c>
      <c r="M1969" s="12">
        <v>32</v>
      </c>
      <c r="N1969" s="14">
        <v>0.17</v>
      </c>
      <c r="O1969" s="12">
        <v>190</v>
      </c>
      <c r="P1969" s="12">
        <v>180</v>
      </c>
      <c r="Q1969" s="12">
        <v>20</v>
      </c>
      <c r="R1969" s="13" t="s">
        <v>100</v>
      </c>
      <c r="S1969" s="13" t="s">
        <v>5509</v>
      </c>
      <c r="T1969" s="15">
        <v>3000</v>
      </c>
      <c r="U1969" s="13" t="s">
        <v>52</v>
      </c>
      <c r="V1969" s="13" t="s">
        <v>64</v>
      </c>
      <c r="W1969" s="12">
        <v>10</v>
      </c>
      <c r="X1969" s="33" t="str">
        <f>HYPERLINK("https://www.alpinabook.ru/catalog/book-u-konni-poyavlyaetsya-bratik","ссылка на книгу")</f>
        <v>ссылка на книгу</v>
      </c>
      <c r="Y1969" s="34" t="str">
        <f>HYPERLINK("https://api-enni.alpina.ru/FileCertificateProject/503","https://api-enni.alpina.ru/FileCertificateProject/503")</f>
        <v>https://api-enni.alpina.ru/FileCertificateProject/503</v>
      </c>
      <c r="Z1969" s="13"/>
      <c r="AT1969" s="1">
        <f t="shared" si="370"/>
        <v>0</v>
      </c>
      <c r="AU1969" s="1">
        <f t="shared" si="371"/>
        <v>0</v>
      </c>
      <c r="AV1969" s="1">
        <f t="shared" si="372"/>
        <v>0</v>
      </c>
      <c r="AW1969" s="1">
        <f t="shared" si="373"/>
        <v>0</v>
      </c>
      <c r="AX1969" s="1">
        <f t="shared" si="374"/>
        <v>0</v>
      </c>
    </row>
    <row r="1970" spans="1:50" s="1" customFormat="1" ht="24.95" customHeight="1" outlineLevel="3" x14ac:dyDescent="0.2">
      <c r="A1970" s="11"/>
      <c r="B1970" s="12">
        <v>490</v>
      </c>
      <c r="C1970" s="12">
        <v>490</v>
      </c>
      <c r="D1970" s="12">
        <v>26530</v>
      </c>
      <c r="E1970" s="13" t="s">
        <v>283</v>
      </c>
      <c r="F1970" s="13" t="s">
        <v>6431</v>
      </c>
      <c r="G1970" s="13" t="s">
        <v>163</v>
      </c>
      <c r="H1970" s="13" t="s">
        <v>164</v>
      </c>
      <c r="I1970" s="12">
        <v>2022</v>
      </c>
      <c r="J1970" s="13" t="s">
        <v>6432</v>
      </c>
      <c r="K1970" s="12">
        <v>9785961482089</v>
      </c>
      <c r="L1970" s="13" t="s">
        <v>6433</v>
      </c>
      <c r="M1970" s="12">
        <v>72</v>
      </c>
      <c r="N1970" s="14">
        <v>0.4</v>
      </c>
      <c r="O1970" s="12">
        <v>195</v>
      </c>
      <c r="P1970" s="12">
        <v>270</v>
      </c>
      <c r="Q1970" s="12">
        <v>14</v>
      </c>
      <c r="R1970" s="13" t="s">
        <v>167</v>
      </c>
      <c r="S1970" s="13" t="s">
        <v>5509</v>
      </c>
      <c r="T1970" s="15">
        <v>3000</v>
      </c>
      <c r="U1970" s="13" t="s">
        <v>52</v>
      </c>
      <c r="V1970" s="13" t="s">
        <v>269</v>
      </c>
      <c r="W1970" s="12">
        <v>10</v>
      </c>
      <c r="X1970" s="33" t="str">
        <f>HYPERLINK("https://www.alpinabook.ru/catalog/book-ura-shkola","ссылка на книгу")</f>
        <v>ссылка на книгу</v>
      </c>
      <c r="Y1970" s="34" t="str">
        <f>HYPERLINK("https://api-enni.alpina.ru/FileCertificateProject/561","https://api-enni.alpina.ru/FileCertificateProject/561")</f>
        <v>https://api-enni.alpina.ru/FileCertificateProject/561</v>
      </c>
      <c r="Z1970" s="13"/>
      <c r="AT1970" s="1">
        <f t="shared" si="370"/>
        <v>0</v>
      </c>
      <c r="AU1970" s="1">
        <f t="shared" si="371"/>
        <v>0</v>
      </c>
      <c r="AV1970" s="1">
        <f t="shared" si="372"/>
        <v>0</v>
      </c>
      <c r="AW1970" s="1">
        <f t="shared" si="373"/>
        <v>0</v>
      </c>
      <c r="AX1970" s="1">
        <f t="shared" si="374"/>
        <v>0</v>
      </c>
    </row>
    <row r="1971" spans="1:50" s="1" customFormat="1" ht="24.95" customHeight="1" outlineLevel="3" x14ac:dyDescent="0.2">
      <c r="A1971" s="11"/>
      <c r="B1971" s="12">
        <v>320</v>
      </c>
      <c r="C1971" s="12">
        <v>540</v>
      </c>
      <c r="D1971" s="12">
        <v>30290</v>
      </c>
      <c r="E1971" s="13" t="s">
        <v>283</v>
      </c>
      <c r="F1971" s="13" t="s">
        <v>6434</v>
      </c>
      <c r="G1971" s="13" t="s">
        <v>163</v>
      </c>
      <c r="H1971" s="13" t="s">
        <v>164</v>
      </c>
      <c r="I1971" s="12">
        <v>2024</v>
      </c>
      <c r="J1971" s="13" t="s">
        <v>6435</v>
      </c>
      <c r="K1971" s="12">
        <v>9785961495126</v>
      </c>
      <c r="L1971" s="13" t="s">
        <v>6436</v>
      </c>
      <c r="M1971" s="12">
        <v>32</v>
      </c>
      <c r="N1971" s="14">
        <v>0.12</v>
      </c>
      <c r="O1971" s="12">
        <v>200</v>
      </c>
      <c r="P1971" s="12">
        <v>260</v>
      </c>
      <c r="Q1971" s="12">
        <v>20</v>
      </c>
      <c r="R1971" s="13" t="s">
        <v>300</v>
      </c>
      <c r="S1971" s="13" t="s">
        <v>5509</v>
      </c>
      <c r="T1971" s="15">
        <v>2000</v>
      </c>
      <c r="U1971" s="13" t="s">
        <v>44</v>
      </c>
      <c r="V1971" s="13" t="s">
        <v>269</v>
      </c>
      <c r="W1971" s="12">
        <v>10</v>
      </c>
      <c r="X1971" s="33" t="str">
        <f>HYPERLINK("https://www.alpinabook.ru/catalog/book-uchu-angliyskiy-s-konni","ссылка на книгу")</f>
        <v>ссылка на книгу</v>
      </c>
      <c r="Y1971" s="34" t="str">
        <f>HYPERLINK("https://api-enni.alpina.ru/FileCertificateProject/711","https://api-enni.alpina.ru/FileCertificateProject/711")</f>
        <v>https://api-enni.alpina.ru/FileCertificateProject/711</v>
      </c>
      <c r="Z1971" s="13"/>
      <c r="AT1971" s="1">
        <f t="shared" si="370"/>
        <v>0</v>
      </c>
      <c r="AU1971" s="1">
        <f t="shared" si="371"/>
        <v>0</v>
      </c>
      <c r="AV1971" s="1">
        <f t="shared" si="372"/>
        <v>0</v>
      </c>
      <c r="AW1971" s="1">
        <f t="shared" si="373"/>
        <v>0</v>
      </c>
      <c r="AX1971" s="1">
        <f t="shared" si="374"/>
        <v>0</v>
      </c>
    </row>
    <row r="1972" spans="1:50" s="1" customFormat="1" ht="24.95" customHeight="1" outlineLevel="3" x14ac:dyDescent="0.2">
      <c r="A1972" s="11"/>
      <c r="B1972" s="12">
        <v>690</v>
      </c>
      <c r="C1972" s="12">
        <v>690</v>
      </c>
      <c r="D1972" s="12">
        <v>20669</v>
      </c>
      <c r="E1972" s="13" t="s">
        <v>5505</v>
      </c>
      <c r="F1972" s="13" t="s">
        <v>6437</v>
      </c>
      <c r="G1972" s="13" t="s">
        <v>163</v>
      </c>
      <c r="H1972" s="13" t="s">
        <v>164</v>
      </c>
      <c r="I1972" s="12">
        <v>2023</v>
      </c>
      <c r="J1972" s="13" t="s">
        <v>6438</v>
      </c>
      <c r="K1972" s="12">
        <v>9785961441352</v>
      </c>
      <c r="L1972" s="13" t="s">
        <v>6439</v>
      </c>
      <c r="M1972" s="12">
        <v>14</v>
      </c>
      <c r="N1972" s="14">
        <v>0.25</v>
      </c>
      <c r="O1972" s="12">
        <v>220</v>
      </c>
      <c r="P1972" s="12">
        <v>250</v>
      </c>
      <c r="Q1972" s="12">
        <v>40</v>
      </c>
      <c r="R1972" s="13" t="s">
        <v>167</v>
      </c>
      <c r="S1972" s="13" t="s">
        <v>5509</v>
      </c>
      <c r="T1972" s="15">
        <v>5000</v>
      </c>
      <c r="U1972" s="13" t="s">
        <v>44</v>
      </c>
      <c r="V1972" s="13" t="s">
        <v>64</v>
      </c>
      <c r="W1972" s="12">
        <v>10</v>
      </c>
      <c r="X1972" s="33" t="str">
        <f>HYPERLINK("https://www.alpinabook.ru/catalog/book-uchim-vremya-s-konni","ссылка на книгу")</f>
        <v>ссылка на книгу</v>
      </c>
      <c r="Y1972" s="34" t="str">
        <f>HYPERLINK("https://api-enni.alpina.ru/FileCertificateProject/507","https://api-enni.alpina.ru/FileCertificateProject/507")</f>
        <v>https://api-enni.alpina.ru/FileCertificateProject/507</v>
      </c>
      <c r="Z1972" s="13"/>
      <c r="AT1972" s="1">
        <f t="shared" si="370"/>
        <v>0</v>
      </c>
      <c r="AU1972" s="1">
        <f t="shared" si="371"/>
        <v>0</v>
      </c>
      <c r="AV1972" s="1">
        <f t="shared" si="372"/>
        <v>0</v>
      </c>
      <c r="AW1972" s="1">
        <f t="shared" si="373"/>
        <v>0</v>
      </c>
      <c r="AX1972" s="1">
        <f t="shared" si="374"/>
        <v>0</v>
      </c>
    </row>
    <row r="1973" spans="1:50" s="1" customFormat="1" ht="24.95" customHeight="1" outlineLevel="3" x14ac:dyDescent="0.2">
      <c r="A1973" s="11"/>
      <c r="B1973" s="12">
        <v>290</v>
      </c>
      <c r="C1973" s="12">
        <v>440</v>
      </c>
      <c r="D1973" s="12">
        <v>28785</v>
      </c>
      <c r="E1973" s="13" t="s">
        <v>283</v>
      </c>
      <c r="F1973" s="13" t="s">
        <v>6440</v>
      </c>
      <c r="G1973" s="13" t="s">
        <v>163</v>
      </c>
      <c r="H1973" s="13"/>
      <c r="I1973" s="12">
        <v>2024</v>
      </c>
      <c r="J1973" s="13" t="s">
        <v>6441</v>
      </c>
      <c r="K1973" s="12">
        <v>9785961490046</v>
      </c>
      <c r="L1973" s="13" t="s">
        <v>6442</v>
      </c>
      <c r="M1973" s="12">
        <v>56</v>
      </c>
      <c r="N1973" s="14">
        <v>0.16</v>
      </c>
      <c r="O1973" s="12">
        <v>200</v>
      </c>
      <c r="P1973" s="12">
        <v>260</v>
      </c>
      <c r="Q1973" s="12">
        <v>20</v>
      </c>
      <c r="R1973" s="13" t="s">
        <v>300</v>
      </c>
      <c r="S1973" s="13" t="s">
        <v>5509</v>
      </c>
      <c r="T1973" s="15">
        <v>2000</v>
      </c>
      <c r="U1973" s="13" t="s">
        <v>44</v>
      </c>
      <c r="V1973" s="13" t="s">
        <v>269</v>
      </c>
      <c r="W1973" s="12">
        <v>10</v>
      </c>
      <c r="X1973" s="33" t="str">
        <f>HYPERLINK("https://www.alpinabook.ru/catalog/book-uchim-vremya-minuty-i-sekundy","ссылка на книгу")</f>
        <v>ссылка на книгу</v>
      </c>
      <c r="Y1973" s="34" t="str">
        <f>HYPERLINK("https://api-enni.alpina.ru/FileCertificateProject/446","https://api-enni.alpina.ru/FileCertificateProject/446")</f>
        <v>https://api-enni.alpina.ru/FileCertificateProject/446</v>
      </c>
      <c r="Z1973" s="13"/>
      <c r="AT1973" s="1">
        <f t="shared" si="370"/>
        <v>0</v>
      </c>
      <c r="AU1973" s="1">
        <f t="shared" si="371"/>
        <v>0</v>
      </c>
      <c r="AV1973" s="1">
        <f t="shared" si="372"/>
        <v>0</v>
      </c>
      <c r="AW1973" s="1">
        <f t="shared" si="373"/>
        <v>0</v>
      </c>
      <c r="AX1973" s="1">
        <f t="shared" si="374"/>
        <v>0</v>
      </c>
    </row>
    <row r="1974" spans="1:50" s="1" customFormat="1" ht="24.95" customHeight="1" outlineLevel="3" x14ac:dyDescent="0.2">
      <c r="A1974" s="26"/>
      <c r="B1974" s="27">
        <v>340</v>
      </c>
      <c r="C1974" s="27">
        <v>540</v>
      </c>
      <c r="D1974" s="27">
        <v>25042</v>
      </c>
      <c r="E1974" s="29" t="s">
        <v>6145</v>
      </c>
      <c r="F1974" s="29" t="s">
        <v>6443</v>
      </c>
      <c r="G1974" s="29" t="s">
        <v>163</v>
      </c>
      <c r="H1974" s="29" t="s">
        <v>164</v>
      </c>
      <c r="I1974" s="27">
        <v>2022</v>
      </c>
      <c r="J1974" s="29" t="s">
        <v>6444</v>
      </c>
      <c r="K1974" s="27">
        <v>9785961476682</v>
      </c>
      <c r="L1974" s="29" t="s">
        <v>6445</v>
      </c>
      <c r="M1974" s="27">
        <v>32</v>
      </c>
      <c r="N1974" s="30">
        <v>0.2</v>
      </c>
      <c r="O1974" s="27">
        <v>177</v>
      </c>
      <c r="P1974" s="27">
        <v>184</v>
      </c>
      <c r="Q1974" s="27">
        <v>20</v>
      </c>
      <c r="R1974" s="29" t="s">
        <v>167</v>
      </c>
      <c r="S1974" s="29" t="s">
        <v>5509</v>
      </c>
      <c r="T1974" s="28">
        <v>1500</v>
      </c>
      <c r="U1974" s="29" t="s">
        <v>52</v>
      </c>
      <c r="V1974" s="29" t="s">
        <v>64</v>
      </c>
      <c r="W1974" s="27">
        <v>10</v>
      </c>
      <c r="X1974" s="37" t="str">
        <f>HYPERLINK("https://www.alpinabook.ru/catalog/book-konni-v-gostyakh-u-poni","ссылка на книгу")</f>
        <v>ссылка на книгу</v>
      </c>
      <c r="Y1974" s="38" t="str">
        <f>HYPERLINK("https://api-enni.alpina.ru/FileCertificateProject/35","https://api-enni.alpina.ru/FileCertificateProject/35")</f>
        <v>https://api-enni.alpina.ru/FileCertificateProject/35</v>
      </c>
      <c r="Z1974" s="29"/>
      <c r="AT1974" s="1">
        <f t="shared" si="370"/>
        <v>0</v>
      </c>
      <c r="AU1974" s="1">
        <f t="shared" si="371"/>
        <v>0</v>
      </c>
      <c r="AV1974" s="1">
        <f t="shared" si="372"/>
        <v>0</v>
      </c>
      <c r="AW1974" s="1">
        <f t="shared" si="373"/>
        <v>0</v>
      </c>
      <c r="AX1974" s="1">
        <f t="shared" si="374"/>
        <v>0</v>
      </c>
    </row>
    <row r="1975" spans="1:50" s="1" customFormat="1" ht="24.95" customHeight="1" outlineLevel="3" x14ac:dyDescent="0.2">
      <c r="A1975" s="11"/>
      <c r="B1975" s="12">
        <v>340</v>
      </c>
      <c r="C1975" s="12">
        <v>340</v>
      </c>
      <c r="D1975" s="12">
        <v>25041</v>
      </c>
      <c r="E1975" s="13" t="s">
        <v>6145</v>
      </c>
      <c r="F1975" s="13" t="s">
        <v>6446</v>
      </c>
      <c r="G1975" s="13" t="s">
        <v>163</v>
      </c>
      <c r="H1975" s="13" t="s">
        <v>164</v>
      </c>
      <c r="I1975" s="12">
        <v>2022</v>
      </c>
      <c r="J1975" s="13" t="s">
        <v>6447</v>
      </c>
      <c r="K1975" s="12">
        <v>9785961476675</v>
      </c>
      <c r="L1975" s="13" t="s">
        <v>6448</v>
      </c>
      <c r="M1975" s="12">
        <v>32</v>
      </c>
      <c r="N1975" s="14">
        <v>0.19</v>
      </c>
      <c r="O1975" s="12">
        <v>177</v>
      </c>
      <c r="P1975" s="12">
        <v>184</v>
      </c>
      <c r="Q1975" s="12">
        <v>20</v>
      </c>
      <c r="R1975" s="13" t="s">
        <v>167</v>
      </c>
      <c r="S1975" s="13" t="s">
        <v>5509</v>
      </c>
      <c r="T1975" s="15">
        <v>3000</v>
      </c>
      <c r="U1975" s="13" t="s">
        <v>52</v>
      </c>
      <c r="V1975" s="13" t="s">
        <v>269</v>
      </c>
      <c r="W1975" s="12">
        <v>10</v>
      </c>
      <c r="X1975" s="33" t="str">
        <f>HYPERLINK("https://www.alpinabook.ru/catalog/book-konni-volshebnyy-son","ссылка на книгу")</f>
        <v>ссылка на книгу</v>
      </c>
      <c r="Y1975" s="34" t="str">
        <f>HYPERLINK("https://api-enni.alpina.ru/FileCertificateProject/34","https://api-enni.alpina.ru/FileCertificateProject/34")</f>
        <v>https://api-enni.alpina.ru/FileCertificateProject/34</v>
      </c>
      <c r="Z1975" s="13"/>
      <c r="AT1975" s="1">
        <f t="shared" si="370"/>
        <v>0</v>
      </c>
      <c r="AU1975" s="1">
        <f t="shared" si="371"/>
        <v>0</v>
      </c>
      <c r="AV1975" s="1">
        <f t="shared" si="372"/>
        <v>0</v>
      </c>
      <c r="AW1975" s="1">
        <f t="shared" si="373"/>
        <v>0</v>
      </c>
      <c r="AX1975" s="1">
        <f t="shared" si="374"/>
        <v>0</v>
      </c>
    </row>
    <row r="1976" spans="1:50" s="1" customFormat="1" ht="21.95" customHeight="1" outlineLevel="3" x14ac:dyDescent="0.2">
      <c r="A1976" s="11"/>
      <c r="B1976" s="12">
        <v>360</v>
      </c>
      <c r="C1976" s="12">
        <v>540</v>
      </c>
      <c r="D1976" s="12">
        <v>26449</v>
      </c>
      <c r="E1976" s="13" t="s">
        <v>6145</v>
      </c>
      <c r="F1976" s="13" t="s">
        <v>6449</v>
      </c>
      <c r="G1976" s="13" t="s">
        <v>163</v>
      </c>
      <c r="H1976" s="13" t="s">
        <v>164</v>
      </c>
      <c r="I1976" s="12">
        <v>2023</v>
      </c>
      <c r="J1976" s="13" t="s">
        <v>6450</v>
      </c>
      <c r="K1976" s="12">
        <v>9785961481747</v>
      </c>
      <c r="L1976" s="13" t="s">
        <v>6451</v>
      </c>
      <c r="M1976" s="12">
        <v>32</v>
      </c>
      <c r="N1976" s="14">
        <v>0.19</v>
      </c>
      <c r="O1976" s="12">
        <v>177</v>
      </c>
      <c r="P1976" s="12">
        <v>184</v>
      </c>
      <c r="Q1976" s="12">
        <v>20</v>
      </c>
      <c r="R1976" s="13" t="s">
        <v>167</v>
      </c>
      <c r="S1976" s="13" t="s">
        <v>5509</v>
      </c>
      <c r="T1976" s="15">
        <v>1500</v>
      </c>
      <c r="U1976" s="13" t="s">
        <v>52</v>
      </c>
      <c r="V1976" s="13" t="s">
        <v>269</v>
      </c>
      <c r="W1976" s="12">
        <v>10</v>
      </c>
      <c r="X1976" s="33" t="str">
        <f>HYPERLINK("https://www.alpinabook.ru/catalog/book-zagadochnyy-vorishka","ссылка на книгу")</f>
        <v>ссылка на книгу</v>
      </c>
      <c r="Y1976" s="34" t="str">
        <f>HYPERLINK("","")</f>
        <v/>
      </c>
      <c r="Z1976" s="13"/>
      <c r="AT1976" s="1">
        <f t="shared" si="370"/>
        <v>0</v>
      </c>
      <c r="AU1976" s="1">
        <f t="shared" si="371"/>
        <v>0</v>
      </c>
      <c r="AV1976" s="1">
        <f t="shared" si="372"/>
        <v>0</v>
      </c>
      <c r="AW1976" s="1">
        <f t="shared" si="373"/>
        <v>0</v>
      </c>
      <c r="AX1976" s="1">
        <f t="shared" si="374"/>
        <v>0</v>
      </c>
    </row>
    <row r="1977" spans="1:50" s="1" customFormat="1" ht="24.95" customHeight="1" outlineLevel="3" x14ac:dyDescent="0.2">
      <c r="A1977" s="11"/>
      <c r="B1977" s="12">
        <v>340</v>
      </c>
      <c r="C1977" s="12">
        <v>540</v>
      </c>
      <c r="D1977" s="12">
        <v>25040</v>
      </c>
      <c r="E1977" s="13" t="s">
        <v>6145</v>
      </c>
      <c r="F1977" s="13" t="s">
        <v>6452</v>
      </c>
      <c r="G1977" s="13" t="s">
        <v>163</v>
      </c>
      <c r="H1977" s="13" t="s">
        <v>164</v>
      </c>
      <c r="I1977" s="12">
        <v>2022</v>
      </c>
      <c r="J1977" s="13" t="s">
        <v>6453</v>
      </c>
      <c r="K1977" s="12">
        <v>9785961476668</v>
      </c>
      <c r="L1977" s="13" t="s">
        <v>6454</v>
      </c>
      <c r="M1977" s="12">
        <v>32</v>
      </c>
      <c r="N1977" s="14">
        <v>0.19</v>
      </c>
      <c r="O1977" s="12">
        <v>177</v>
      </c>
      <c r="P1977" s="12">
        <v>184</v>
      </c>
      <c r="Q1977" s="12">
        <v>20</v>
      </c>
      <c r="R1977" s="13" t="s">
        <v>167</v>
      </c>
      <c r="S1977" s="13" t="s">
        <v>5509</v>
      </c>
      <c r="T1977" s="15">
        <v>3000</v>
      </c>
      <c r="U1977" s="13" t="s">
        <v>52</v>
      </c>
      <c r="V1977" s="13" t="s">
        <v>269</v>
      </c>
      <c r="W1977" s="12">
        <v>10</v>
      </c>
      <c r="X1977" s="33" t="str">
        <f>HYPERLINK("https://www.alpinabook.ru/catalog/book-chitat-s-konni-kot-i-mysh","ссылка на книгу")</f>
        <v>ссылка на книгу</v>
      </c>
      <c r="Y1977" s="34" t="str">
        <f>HYPERLINK("https://api-enni.alpina.ru/FileCertificateProject/33","https://api-enni.alpina.ru/FileCertificateProject/33")</f>
        <v>https://api-enni.alpina.ru/FileCertificateProject/33</v>
      </c>
      <c r="Z1977" s="13"/>
      <c r="AT1977" s="1">
        <f t="shared" si="370"/>
        <v>0</v>
      </c>
      <c r="AU1977" s="1">
        <f t="shared" si="371"/>
        <v>0</v>
      </c>
      <c r="AV1977" s="1">
        <f t="shared" si="372"/>
        <v>0</v>
      </c>
      <c r="AW1977" s="1">
        <f t="shared" si="373"/>
        <v>0</v>
      </c>
      <c r="AX1977" s="1">
        <f t="shared" si="374"/>
        <v>0</v>
      </c>
    </row>
    <row r="1978" spans="1:50" s="1" customFormat="1" ht="24.95" customHeight="1" outlineLevel="3" x14ac:dyDescent="0.2">
      <c r="A1978" s="11"/>
      <c r="B1978" s="12">
        <v>490</v>
      </c>
      <c r="C1978" s="12">
        <v>740</v>
      </c>
      <c r="D1978" s="12">
        <v>23662</v>
      </c>
      <c r="E1978" s="13" t="s">
        <v>6145</v>
      </c>
      <c r="F1978" s="13" t="s">
        <v>6455</v>
      </c>
      <c r="G1978" s="13" t="s">
        <v>163</v>
      </c>
      <c r="H1978" s="13" t="s">
        <v>164</v>
      </c>
      <c r="I1978" s="12">
        <v>2022</v>
      </c>
      <c r="J1978" s="13" t="s">
        <v>6456</v>
      </c>
      <c r="K1978" s="12">
        <v>9785961476002</v>
      </c>
      <c r="L1978" s="13" t="s">
        <v>6457</v>
      </c>
      <c r="M1978" s="12">
        <v>32</v>
      </c>
      <c r="N1978" s="14">
        <v>0.19</v>
      </c>
      <c r="O1978" s="12">
        <v>177</v>
      </c>
      <c r="P1978" s="12">
        <v>184</v>
      </c>
      <c r="Q1978" s="12">
        <v>20</v>
      </c>
      <c r="R1978" s="13" t="s">
        <v>167</v>
      </c>
      <c r="S1978" s="13" t="s">
        <v>5509</v>
      </c>
      <c r="T1978" s="15">
        <v>3000</v>
      </c>
      <c r="U1978" s="13" t="s">
        <v>52</v>
      </c>
      <c r="V1978" s="13" t="s">
        <v>269</v>
      </c>
      <c r="W1978" s="12">
        <v>10</v>
      </c>
      <c r="X1978" s="33" t="str">
        <f>HYPERLINK("https://www.alpinabook.ru/catalog/book-kuda-propal-myaf","ссылка на книгу")</f>
        <v>ссылка на книгу</v>
      </c>
      <c r="Y1978" s="34" t="str">
        <f>HYPERLINK("https://api-enni.alpina.ru/FileCertificateProject/205","https://api-enni.alpina.ru/FileCertificateProject/205")</f>
        <v>https://api-enni.alpina.ru/FileCertificateProject/205</v>
      </c>
      <c r="Z1978" s="13"/>
      <c r="AT1978" s="1">
        <f t="shared" si="370"/>
        <v>0</v>
      </c>
      <c r="AU1978" s="1">
        <f t="shared" si="371"/>
        <v>0</v>
      </c>
      <c r="AV1978" s="1">
        <f t="shared" si="372"/>
        <v>0</v>
      </c>
      <c r="AW1978" s="1">
        <f t="shared" si="373"/>
        <v>0</v>
      </c>
      <c r="AX1978" s="1">
        <f t="shared" si="374"/>
        <v>0</v>
      </c>
    </row>
    <row r="1979" spans="1:50" s="1" customFormat="1" ht="21.95" customHeight="1" outlineLevel="3" x14ac:dyDescent="0.2">
      <c r="A1979" s="11"/>
      <c r="B1979" s="12">
        <v>360</v>
      </c>
      <c r="C1979" s="12">
        <v>540</v>
      </c>
      <c r="D1979" s="12">
        <v>26450</v>
      </c>
      <c r="E1979" s="13" t="s">
        <v>6145</v>
      </c>
      <c r="F1979" s="13" t="s">
        <v>6458</v>
      </c>
      <c r="G1979" s="13" t="s">
        <v>163</v>
      </c>
      <c r="H1979" s="13" t="s">
        <v>164</v>
      </c>
      <c r="I1979" s="12">
        <v>2023</v>
      </c>
      <c r="J1979" s="13" t="s">
        <v>6459</v>
      </c>
      <c r="K1979" s="12">
        <v>9785961481754</v>
      </c>
      <c r="L1979" s="13" t="s">
        <v>6460</v>
      </c>
      <c r="M1979" s="12">
        <v>32</v>
      </c>
      <c r="N1979" s="14">
        <v>0.19</v>
      </c>
      <c r="O1979" s="12">
        <v>177</v>
      </c>
      <c r="P1979" s="12">
        <v>184</v>
      </c>
      <c r="Q1979" s="12">
        <v>20</v>
      </c>
      <c r="R1979" s="13" t="s">
        <v>167</v>
      </c>
      <c r="S1979" s="13" t="s">
        <v>5509</v>
      </c>
      <c r="T1979" s="15">
        <v>1500</v>
      </c>
      <c r="U1979" s="13" t="s">
        <v>52</v>
      </c>
      <c r="V1979" s="13" t="s">
        <v>269</v>
      </c>
      <c r="W1979" s="12">
        <v>10</v>
      </c>
      <c r="X1979" s="33" t="str">
        <f>HYPERLINK("https://www.alpinabook.ru/catalog/book-uchus-chitat-s-konni-lyubimaya-poni","ссылка на книгу")</f>
        <v>ссылка на книгу</v>
      </c>
      <c r="Y1979" s="34" t="str">
        <f>HYPERLINK("","")</f>
        <v/>
      </c>
      <c r="Z1979" s="13"/>
      <c r="AT1979" s="1">
        <f t="shared" si="370"/>
        <v>0</v>
      </c>
      <c r="AU1979" s="1">
        <f t="shared" si="371"/>
        <v>0</v>
      </c>
      <c r="AV1979" s="1">
        <f t="shared" si="372"/>
        <v>0</v>
      </c>
      <c r="AW1979" s="1">
        <f t="shared" si="373"/>
        <v>0</v>
      </c>
      <c r="AX1979" s="1">
        <f t="shared" si="374"/>
        <v>0</v>
      </c>
    </row>
    <row r="1980" spans="1:50" s="1" customFormat="1" ht="21.95" customHeight="1" outlineLevel="3" x14ac:dyDescent="0.2">
      <c r="A1980" s="11"/>
      <c r="B1980" s="12">
        <v>360</v>
      </c>
      <c r="C1980" s="12">
        <v>540</v>
      </c>
      <c r="D1980" s="12">
        <v>26448</v>
      </c>
      <c r="E1980" s="13" t="s">
        <v>6145</v>
      </c>
      <c r="F1980" s="13" t="s">
        <v>6461</v>
      </c>
      <c r="G1980" s="13" t="s">
        <v>163</v>
      </c>
      <c r="H1980" s="13" t="s">
        <v>164</v>
      </c>
      <c r="I1980" s="12">
        <v>2023</v>
      </c>
      <c r="J1980" s="13" t="s">
        <v>6462</v>
      </c>
      <c r="K1980" s="12">
        <v>9785961481730</v>
      </c>
      <c r="L1980" s="13" t="s">
        <v>6463</v>
      </c>
      <c r="M1980" s="12">
        <v>32</v>
      </c>
      <c r="N1980" s="14">
        <v>0.19</v>
      </c>
      <c r="O1980" s="12">
        <v>177</v>
      </c>
      <c r="P1980" s="12">
        <v>184</v>
      </c>
      <c r="Q1980" s="12">
        <v>20</v>
      </c>
      <c r="R1980" s="13" t="s">
        <v>167</v>
      </c>
      <c r="S1980" s="13" t="s">
        <v>5509</v>
      </c>
      <c r="T1980" s="15">
        <v>1500</v>
      </c>
      <c r="U1980" s="13" t="s">
        <v>52</v>
      </c>
      <c r="V1980" s="13" t="s">
        <v>269</v>
      </c>
      <c r="W1980" s="12">
        <v>10</v>
      </c>
      <c r="X1980" s="33" t="str">
        <f>HYPERLINK("https://www.alpinabook.ru/catalog/book-uchus-chitat-s-konni-progulki-po-lesu","ссылка на книгу")</f>
        <v>ссылка на книгу</v>
      </c>
      <c r="Y1980" s="34" t="str">
        <f>HYPERLINK("","")</f>
        <v/>
      </c>
      <c r="Z1980" s="13"/>
      <c r="AT1980" s="1">
        <f t="shared" si="370"/>
        <v>0</v>
      </c>
      <c r="AU1980" s="1">
        <f t="shared" si="371"/>
        <v>0</v>
      </c>
      <c r="AV1980" s="1">
        <f t="shared" si="372"/>
        <v>0</v>
      </c>
      <c r="AW1980" s="1">
        <f t="shared" si="373"/>
        <v>0</v>
      </c>
      <c r="AX1980" s="1">
        <f t="shared" si="374"/>
        <v>0</v>
      </c>
    </row>
    <row r="1981" spans="1:50" s="1" customFormat="1" ht="24.95" customHeight="1" outlineLevel="3" x14ac:dyDescent="0.2">
      <c r="A1981" s="11"/>
      <c r="B1981" s="12">
        <v>580</v>
      </c>
      <c r="C1981" s="12">
        <v>840</v>
      </c>
      <c r="D1981" s="12">
        <v>25842</v>
      </c>
      <c r="E1981" s="13" t="s">
        <v>283</v>
      </c>
      <c r="F1981" s="13" t="s">
        <v>6464</v>
      </c>
      <c r="G1981" s="13" t="s">
        <v>163</v>
      </c>
      <c r="H1981" s="13" t="s">
        <v>164</v>
      </c>
      <c r="I1981" s="12">
        <v>2022</v>
      </c>
      <c r="J1981" s="13" t="s">
        <v>6465</v>
      </c>
      <c r="K1981" s="12">
        <v>9785961478730</v>
      </c>
      <c r="L1981" s="13" t="s">
        <v>6466</v>
      </c>
      <c r="M1981" s="12">
        <v>112</v>
      </c>
      <c r="N1981" s="14">
        <v>0.2</v>
      </c>
      <c r="O1981" s="12">
        <v>170</v>
      </c>
      <c r="P1981" s="12">
        <v>178</v>
      </c>
      <c r="Q1981" s="12">
        <v>14</v>
      </c>
      <c r="R1981" s="13" t="s">
        <v>167</v>
      </c>
      <c r="S1981" s="13" t="s">
        <v>5509</v>
      </c>
      <c r="T1981" s="15">
        <v>2000</v>
      </c>
      <c r="U1981" s="13" t="s">
        <v>44</v>
      </c>
      <c r="V1981" s="13" t="s">
        <v>64</v>
      </c>
      <c r="W1981" s="12">
        <v>10</v>
      </c>
      <c r="X1981" s="33" t="str">
        <f>HYPERLINK("https://www.alpinabook.ru/catalog/book-uchus-chitat-s-konni-sbornik","ссылка на книгу")</f>
        <v>ссылка на книгу</v>
      </c>
      <c r="Y1981" s="34" t="str">
        <f>HYPERLINK("https://api-enni.alpina.ru/FileCertificateProject/285","https://api-enni.alpina.ru/FileCertificateProject/285")</f>
        <v>https://api-enni.alpina.ru/FileCertificateProject/285</v>
      </c>
      <c r="Z1981" s="13"/>
      <c r="AT1981" s="1">
        <f t="shared" si="370"/>
        <v>0</v>
      </c>
      <c r="AU1981" s="1">
        <f t="shared" si="371"/>
        <v>0</v>
      </c>
      <c r="AV1981" s="1">
        <f t="shared" si="372"/>
        <v>0</v>
      </c>
      <c r="AW1981" s="1">
        <f t="shared" si="373"/>
        <v>0</v>
      </c>
      <c r="AX1981" s="1">
        <f t="shared" si="374"/>
        <v>0</v>
      </c>
    </row>
    <row r="1982" spans="1:50" s="1" customFormat="1" ht="21.95" customHeight="1" outlineLevel="3" x14ac:dyDescent="0.2">
      <c r="A1982" s="11"/>
      <c r="B1982" s="12">
        <v>360</v>
      </c>
      <c r="C1982" s="12">
        <v>540</v>
      </c>
      <c r="D1982" s="12">
        <v>27255</v>
      </c>
      <c r="E1982" s="13" t="s">
        <v>6145</v>
      </c>
      <c r="F1982" s="13" t="s">
        <v>6467</v>
      </c>
      <c r="G1982" s="13" t="s">
        <v>163</v>
      </c>
      <c r="H1982" s="13" t="s">
        <v>164</v>
      </c>
      <c r="I1982" s="12">
        <v>2023</v>
      </c>
      <c r="J1982" s="13" t="s">
        <v>6468</v>
      </c>
      <c r="K1982" s="12">
        <v>9785961484410</v>
      </c>
      <c r="L1982" s="13" t="s">
        <v>6469</v>
      </c>
      <c r="M1982" s="12">
        <v>32</v>
      </c>
      <c r="N1982" s="14">
        <v>0.19</v>
      </c>
      <c r="O1982" s="12">
        <v>180</v>
      </c>
      <c r="P1982" s="12">
        <v>190</v>
      </c>
      <c r="Q1982" s="12">
        <v>20</v>
      </c>
      <c r="R1982" s="13" t="s">
        <v>167</v>
      </c>
      <c r="S1982" s="13" t="s">
        <v>5509</v>
      </c>
      <c r="T1982" s="15">
        <v>1500</v>
      </c>
      <c r="U1982" s="13" t="s">
        <v>52</v>
      </c>
      <c r="V1982" s="13" t="s">
        <v>269</v>
      </c>
      <c r="W1982" s="12">
        <v>10</v>
      </c>
      <c r="X1982" s="33" t="str">
        <f>HYPERLINK("https://www.alpinabook.ru/catalog/book-uchus-chitat-s-konni-propavshiy-vozdushnyy-zmey","ссылка на книгу")</f>
        <v>ссылка на книгу</v>
      </c>
      <c r="Y1982" s="34" t="str">
        <f>HYPERLINK("","")</f>
        <v/>
      </c>
      <c r="Z1982" s="13"/>
      <c r="AT1982" s="1">
        <f t="shared" si="370"/>
        <v>0</v>
      </c>
      <c r="AU1982" s="1">
        <f t="shared" si="371"/>
        <v>0</v>
      </c>
      <c r="AV1982" s="1">
        <f t="shared" si="372"/>
        <v>0</v>
      </c>
      <c r="AW1982" s="1">
        <f t="shared" si="373"/>
        <v>0</v>
      </c>
      <c r="AX1982" s="1">
        <f t="shared" si="374"/>
        <v>0</v>
      </c>
    </row>
    <row r="1983" spans="1:50" s="1" customFormat="1" ht="21.95" customHeight="1" outlineLevel="3" x14ac:dyDescent="0.2">
      <c r="A1983" s="11"/>
      <c r="B1983" s="12">
        <v>380</v>
      </c>
      <c r="C1983" s="12">
        <v>540</v>
      </c>
      <c r="D1983" s="12">
        <v>27256</v>
      </c>
      <c r="E1983" s="13" t="s">
        <v>6145</v>
      </c>
      <c r="F1983" s="13" t="s">
        <v>6470</v>
      </c>
      <c r="G1983" s="13" t="s">
        <v>163</v>
      </c>
      <c r="H1983" s="13" t="s">
        <v>164</v>
      </c>
      <c r="I1983" s="12">
        <v>2023</v>
      </c>
      <c r="J1983" s="13" t="s">
        <v>6471</v>
      </c>
      <c r="K1983" s="12">
        <v>9785961484427</v>
      </c>
      <c r="L1983" s="13" t="s">
        <v>6472</v>
      </c>
      <c r="M1983" s="12">
        <v>32</v>
      </c>
      <c r="N1983" s="14">
        <v>0.19</v>
      </c>
      <c r="O1983" s="12">
        <v>180</v>
      </c>
      <c r="P1983" s="12">
        <v>190</v>
      </c>
      <c r="Q1983" s="12">
        <v>20</v>
      </c>
      <c r="R1983" s="13" t="s">
        <v>167</v>
      </c>
      <c r="S1983" s="13" t="s">
        <v>5509</v>
      </c>
      <c r="T1983" s="15">
        <v>1500</v>
      </c>
      <c r="U1983" s="13" t="s">
        <v>52</v>
      </c>
      <c r="V1983" s="13" t="s">
        <v>269</v>
      </c>
      <c r="W1983" s="12">
        <v>10</v>
      </c>
      <c r="X1983" s="33" t="str">
        <f>HYPERLINK("https://www.alpinabook.ru/catalog/book-uchus-chitat-s-konni-ya-ne-boyus","ссылка на книгу")</f>
        <v>ссылка на книгу</v>
      </c>
      <c r="Y1983" s="34" t="str">
        <f>HYPERLINK("","")</f>
        <v/>
      </c>
      <c r="Z1983" s="13"/>
      <c r="AT1983" s="1">
        <f t="shared" si="370"/>
        <v>0</v>
      </c>
      <c r="AU1983" s="1">
        <f t="shared" si="371"/>
        <v>0</v>
      </c>
      <c r="AV1983" s="1">
        <f t="shared" si="372"/>
        <v>0</v>
      </c>
      <c r="AW1983" s="1">
        <f t="shared" si="373"/>
        <v>0</v>
      </c>
      <c r="AX1983" s="1">
        <f t="shared" si="374"/>
        <v>0</v>
      </c>
    </row>
    <row r="1984" spans="1:50" s="1" customFormat="1" ht="24.95" customHeight="1" outlineLevel="3" x14ac:dyDescent="0.2">
      <c r="A1984" s="11"/>
      <c r="B1984" s="12">
        <v>180</v>
      </c>
      <c r="C1984" s="12">
        <v>290</v>
      </c>
      <c r="D1984" s="12">
        <v>28030</v>
      </c>
      <c r="E1984" s="13" t="s">
        <v>6373</v>
      </c>
      <c r="F1984" s="13" t="s">
        <v>6473</v>
      </c>
      <c r="G1984" s="13" t="s">
        <v>163</v>
      </c>
      <c r="H1984" s="13" t="s">
        <v>164</v>
      </c>
      <c r="I1984" s="12">
        <v>2023</v>
      </c>
      <c r="J1984" s="13" t="s">
        <v>6474</v>
      </c>
      <c r="K1984" s="12">
        <v>9785961487077</v>
      </c>
      <c r="L1984" s="13" t="s">
        <v>6475</v>
      </c>
      <c r="M1984" s="12">
        <v>32</v>
      </c>
      <c r="N1984" s="14">
        <v>0.1</v>
      </c>
      <c r="O1984" s="12">
        <v>200</v>
      </c>
      <c r="P1984" s="12">
        <v>260</v>
      </c>
      <c r="Q1984" s="12">
        <v>30</v>
      </c>
      <c r="R1984" s="13" t="s">
        <v>300</v>
      </c>
      <c r="S1984" s="13" t="s">
        <v>5509</v>
      </c>
      <c r="T1984" s="15">
        <v>2000</v>
      </c>
      <c r="U1984" s="13" t="s">
        <v>44</v>
      </c>
      <c r="V1984" s="13" t="s">
        <v>269</v>
      </c>
      <c r="W1984" s="12">
        <v>10</v>
      </c>
      <c r="X1984" s="33" t="str">
        <f>HYPERLINK("https://www.alpinabook.ru/catalog/book-uchim-tcifry-s-konni","ссылка на книгу")</f>
        <v>ссылка на книгу</v>
      </c>
      <c r="Y1984" s="34" t="str">
        <f>HYPERLINK("https://api-enni.alpina.ru/FileCertificateProject/609","https://api-enni.alpina.ru/FileCertificateProject/609")</f>
        <v>https://api-enni.alpina.ru/FileCertificateProject/609</v>
      </c>
      <c r="Z1984" s="13"/>
      <c r="AT1984" s="1">
        <f t="shared" si="370"/>
        <v>0</v>
      </c>
      <c r="AU1984" s="1">
        <f t="shared" si="371"/>
        <v>0</v>
      </c>
      <c r="AV1984" s="1">
        <f t="shared" si="372"/>
        <v>0</v>
      </c>
      <c r="AW1984" s="1">
        <f t="shared" si="373"/>
        <v>0</v>
      </c>
      <c r="AX1984" s="1">
        <f t="shared" si="374"/>
        <v>0</v>
      </c>
    </row>
    <row r="1985" spans="1:50" s="1" customFormat="1" ht="24.95" customHeight="1" outlineLevel="3" x14ac:dyDescent="0.2">
      <c r="A1985" s="11"/>
      <c r="B1985" s="12">
        <v>180</v>
      </c>
      <c r="C1985" s="12">
        <v>290</v>
      </c>
      <c r="D1985" s="12">
        <v>28038</v>
      </c>
      <c r="E1985" s="13" t="s">
        <v>6214</v>
      </c>
      <c r="F1985" s="13" t="s">
        <v>6476</v>
      </c>
      <c r="G1985" s="13" t="s">
        <v>163</v>
      </c>
      <c r="H1985" s="13" t="s">
        <v>164</v>
      </c>
      <c r="I1985" s="12">
        <v>2023</v>
      </c>
      <c r="J1985" s="13" t="s">
        <v>6477</v>
      </c>
      <c r="K1985" s="12">
        <v>9785961487152</v>
      </c>
      <c r="L1985" s="13" t="s">
        <v>6478</v>
      </c>
      <c r="M1985" s="12">
        <v>30</v>
      </c>
      <c r="N1985" s="14">
        <v>0.1</v>
      </c>
      <c r="O1985" s="12">
        <v>200</v>
      </c>
      <c r="P1985" s="12">
        <v>260</v>
      </c>
      <c r="Q1985" s="12">
        <v>30</v>
      </c>
      <c r="R1985" s="13" t="s">
        <v>300</v>
      </c>
      <c r="S1985" s="13" t="s">
        <v>5509</v>
      </c>
      <c r="T1985" s="15">
        <v>4020</v>
      </c>
      <c r="U1985" s="13" t="s">
        <v>44</v>
      </c>
      <c r="V1985" s="13" t="s">
        <v>269</v>
      </c>
      <c r="W1985" s="12">
        <v>10</v>
      </c>
      <c r="X1985" s="33" t="str">
        <f>HYPERLINK("https://www.alpinabook.ru/catalog/book-chistim-zuby-uchimsya-pravilno","ссылка на книгу")</f>
        <v>ссылка на книгу</v>
      </c>
      <c r="Y1985" s="34" t="str">
        <f>HYPERLINK("https://api-enni.alpina.ru/FileCertificateProject/605","https://api-enni.alpina.ru/FileCertificateProject/605")</f>
        <v>https://api-enni.alpina.ru/FileCertificateProject/605</v>
      </c>
      <c r="Z1985" s="13"/>
      <c r="AT1985" s="1">
        <f t="shared" si="370"/>
        <v>0</v>
      </c>
      <c r="AU1985" s="1">
        <f t="shared" si="371"/>
        <v>0</v>
      </c>
      <c r="AV1985" s="1">
        <f t="shared" si="372"/>
        <v>0</v>
      </c>
      <c r="AW1985" s="1">
        <f t="shared" si="373"/>
        <v>0</v>
      </c>
      <c r="AX1985" s="1">
        <f t="shared" si="374"/>
        <v>0</v>
      </c>
    </row>
    <row r="1986" spans="1:50" s="1" customFormat="1" ht="24.95" customHeight="1" outlineLevel="3" x14ac:dyDescent="0.2">
      <c r="A1986" s="11"/>
      <c r="B1986" s="12">
        <v>390</v>
      </c>
      <c r="C1986" s="12">
        <v>390</v>
      </c>
      <c r="D1986" s="12">
        <v>27266</v>
      </c>
      <c r="E1986" s="13" t="s">
        <v>5965</v>
      </c>
      <c r="F1986" s="13" t="s">
        <v>6479</v>
      </c>
      <c r="G1986" s="13" t="s">
        <v>163</v>
      </c>
      <c r="H1986" s="13"/>
      <c r="I1986" s="12">
        <v>2023</v>
      </c>
      <c r="J1986" s="13" t="s">
        <v>6480</v>
      </c>
      <c r="K1986" s="12">
        <v>9785961484526</v>
      </c>
      <c r="L1986" s="13" t="s">
        <v>6481</v>
      </c>
      <c r="M1986" s="12">
        <v>80</v>
      </c>
      <c r="N1986" s="14">
        <v>0.14000000000000001</v>
      </c>
      <c r="O1986" s="12">
        <v>140</v>
      </c>
      <c r="P1986" s="12">
        <v>210</v>
      </c>
      <c r="Q1986" s="12">
        <v>50</v>
      </c>
      <c r="R1986" s="13" t="s">
        <v>43</v>
      </c>
      <c r="S1986" s="13" t="s">
        <v>5509</v>
      </c>
      <c r="T1986" s="15">
        <v>3000</v>
      </c>
      <c r="U1986" s="13" t="s">
        <v>44</v>
      </c>
      <c r="V1986" s="13" t="s">
        <v>269</v>
      </c>
      <c r="W1986" s="12">
        <v>10</v>
      </c>
      <c r="X1986" s="33" t="str">
        <f>HYPERLINK("https://www.alpinabook.ru/catalog/book-chitatelskiy-dnevnik-s-konni","ссылка на книгу")</f>
        <v>ссылка на книгу</v>
      </c>
      <c r="Y1986" s="34" t="str">
        <f>HYPERLINK("https://api-enni.alpina.ru/FileCertificateProject/670","https://api-enni.alpina.ru/FileCertificateProject/670")</f>
        <v>https://api-enni.alpina.ru/FileCertificateProject/670</v>
      </c>
      <c r="Z1986" s="13"/>
      <c r="AT1986" s="1">
        <f t="shared" si="370"/>
        <v>0</v>
      </c>
      <c r="AU1986" s="1">
        <f t="shared" si="371"/>
        <v>0</v>
      </c>
      <c r="AV1986" s="1">
        <f t="shared" si="372"/>
        <v>0</v>
      </c>
      <c r="AW1986" s="1">
        <f t="shared" si="373"/>
        <v>0</v>
      </c>
      <c r="AX1986" s="1">
        <f t="shared" si="374"/>
        <v>0</v>
      </c>
    </row>
    <row r="1987" spans="1:50" ht="11.1" customHeight="1" outlineLevel="2" x14ac:dyDescent="0.2">
      <c r="A1987" s="40" t="s">
        <v>6482</v>
      </c>
      <c r="B1987" s="40"/>
      <c r="C1987" s="40"/>
      <c r="D1987" s="40"/>
      <c r="E1987" s="40"/>
      <c r="F1987" s="40"/>
      <c r="G1987" s="40"/>
      <c r="H1987" s="40"/>
      <c r="I1987" s="40"/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20"/>
    </row>
    <row r="1988" spans="1:50" s="1" customFormat="1" ht="21.95" customHeight="1" outlineLevel="3" x14ac:dyDescent="0.2">
      <c r="A1988" s="11"/>
      <c r="B1988" s="12">
        <v>440</v>
      </c>
      <c r="C1988" s="12">
        <v>740</v>
      </c>
      <c r="D1988" s="12">
        <v>29636</v>
      </c>
      <c r="E1988" s="13" t="s">
        <v>6483</v>
      </c>
      <c r="F1988" s="13" t="s">
        <v>6484</v>
      </c>
      <c r="G1988" s="13" t="s">
        <v>163</v>
      </c>
      <c r="H1988" s="13"/>
      <c r="I1988" s="12">
        <v>2025</v>
      </c>
      <c r="J1988" s="13" t="s">
        <v>6485</v>
      </c>
      <c r="K1988" s="12">
        <v>9785961493221</v>
      </c>
      <c r="L1988" s="13" t="s">
        <v>6486</v>
      </c>
      <c r="M1988" s="12">
        <v>48</v>
      </c>
      <c r="N1988" s="14">
        <v>0.21</v>
      </c>
      <c r="O1988" s="12">
        <v>170</v>
      </c>
      <c r="P1988" s="12">
        <v>220</v>
      </c>
      <c r="Q1988" s="12">
        <v>18</v>
      </c>
      <c r="R1988" s="13" t="s">
        <v>94</v>
      </c>
      <c r="S1988" s="13" t="s">
        <v>810</v>
      </c>
      <c r="T1988" s="15">
        <v>3000</v>
      </c>
      <c r="U1988" s="13" t="s">
        <v>52</v>
      </c>
      <c r="V1988" s="13" t="s">
        <v>269</v>
      </c>
      <c r="W1988" s="12">
        <v>10</v>
      </c>
      <c r="X1988" s="33" t="str">
        <f>HYPERLINK("https://www.alpinabook.ru/catalog/book-chemu-nauchitsya-u-pushkina","ссылка на книгу")</f>
        <v>ссылка на книгу</v>
      </c>
      <c r="Y1988" s="34" t="str">
        <f>HYPERLINK("","")</f>
        <v/>
      </c>
      <c r="Z1988" s="13" t="s">
        <v>567</v>
      </c>
      <c r="AT1988" s="1">
        <f t="shared" ref="AT1988:AT2001" si="375">IF($A1988&lt;&gt;0,1,0)</f>
        <v>0</v>
      </c>
      <c r="AU1988" s="1">
        <f t="shared" ref="AU1988:AU2001" si="376">$A1988*$B1988</f>
        <v>0</v>
      </c>
      <c r="AV1988" s="1">
        <f t="shared" ref="AV1988:AV2001" si="377">$A1988*$N1988</f>
        <v>0</v>
      </c>
      <c r="AW1988" s="1">
        <f t="shared" ref="AW1988:AW2001" si="378">IF($Q1988=0,0,INT($A1988/$Q1988))</f>
        <v>0</v>
      </c>
      <c r="AX1988" s="1">
        <f t="shared" ref="AX1988:AX2001" si="379">$A1988-$AW1988*$Q1988</f>
        <v>0</v>
      </c>
    </row>
    <row r="1989" spans="1:50" s="1" customFormat="1" ht="24.95" customHeight="1" outlineLevel="3" x14ac:dyDescent="0.2">
      <c r="A1989" s="11"/>
      <c r="B1989" s="12">
        <v>490</v>
      </c>
      <c r="C1989" s="12">
        <v>740</v>
      </c>
      <c r="D1989" s="12">
        <v>29635</v>
      </c>
      <c r="E1989" s="13" t="s">
        <v>6487</v>
      </c>
      <c r="F1989" s="13" t="s">
        <v>6488</v>
      </c>
      <c r="G1989" s="13" t="s">
        <v>163</v>
      </c>
      <c r="H1989" s="13"/>
      <c r="I1989" s="12">
        <v>2024</v>
      </c>
      <c r="J1989" s="13" t="s">
        <v>6489</v>
      </c>
      <c r="K1989" s="12">
        <v>9785961493214</v>
      </c>
      <c r="L1989" s="13" t="s">
        <v>6490</v>
      </c>
      <c r="M1989" s="12">
        <v>48</v>
      </c>
      <c r="N1989" s="14">
        <v>0.21</v>
      </c>
      <c r="O1989" s="12">
        <v>170</v>
      </c>
      <c r="P1989" s="12">
        <v>220</v>
      </c>
      <c r="Q1989" s="12">
        <v>18</v>
      </c>
      <c r="R1989" s="13" t="s">
        <v>94</v>
      </c>
      <c r="S1989" s="13" t="s">
        <v>810</v>
      </c>
      <c r="T1989" s="15">
        <v>3000</v>
      </c>
      <c r="U1989" s="13" t="s">
        <v>52</v>
      </c>
      <c r="V1989" s="13" t="s">
        <v>269</v>
      </c>
      <c r="W1989" s="12">
        <v>10</v>
      </c>
      <c r="X1989" s="33" t="str">
        <f>HYPERLINK("https://www.alpinabook.ru/catalog/book-nauchitsya-u-artura-konan-doyla","ссылка на книгу")</f>
        <v>ссылка на книгу</v>
      </c>
      <c r="Y1989" s="34" t="str">
        <f>HYPERLINK("","")</f>
        <v/>
      </c>
      <c r="Z1989" s="13" t="s">
        <v>53</v>
      </c>
      <c r="AT1989" s="1">
        <f t="shared" si="375"/>
        <v>0</v>
      </c>
      <c r="AU1989" s="1">
        <f t="shared" si="376"/>
        <v>0</v>
      </c>
      <c r="AV1989" s="1">
        <f t="shared" si="377"/>
        <v>0</v>
      </c>
      <c r="AW1989" s="1">
        <f t="shared" si="378"/>
        <v>0</v>
      </c>
      <c r="AX1989" s="1">
        <f t="shared" si="379"/>
        <v>0</v>
      </c>
    </row>
    <row r="1990" spans="1:50" s="1" customFormat="1" ht="21.95" customHeight="1" outlineLevel="3" x14ac:dyDescent="0.2">
      <c r="A1990" s="11"/>
      <c r="B1990" s="12">
        <v>440</v>
      </c>
      <c r="C1990" s="12">
        <v>740</v>
      </c>
      <c r="D1990" s="12">
        <v>29692</v>
      </c>
      <c r="E1990" s="13" t="s">
        <v>6491</v>
      </c>
      <c r="F1990" s="13" t="s">
        <v>6492</v>
      </c>
      <c r="G1990" s="13" t="s">
        <v>163</v>
      </c>
      <c r="H1990" s="13"/>
      <c r="I1990" s="12">
        <v>2024</v>
      </c>
      <c r="J1990" s="13" t="s">
        <v>6493</v>
      </c>
      <c r="K1990" s="12">
        <v>9785961493467</v>
      </c>
      <c r="L1990" s="13" t="s">
        <v>6494</v>
      </c>
      <c r="M1990" s="12">
        <v>48</v>
      </c>
      <c r="N1990" s="14">
        <v>0.21</v>
      </c>
      <c r="O1990" s="12">
        <v>170</v>
      </c>
      <c r="P1990" s="12">
        <v>220</v>
      </c>
      <c r="Q1990" s="12">
        <v>18</v>
      </c>
      <c r="R1990" s="13" t="s">
        <v>100</v>
      </c>
      <c r="S1990" s="13" t="s">
        <v>810</v>
      </c>
      <c r="T1990" s="15">
        <v>3000</v>
      </c>
      <c r="U1990" s="13" t="s">
        <v>52</v>
      </c>
      <c r="V1990" s="13" t="s">
        <v>269</v>
      </c>
      <c r="W1990" s="12">
        <v>10</v>
      </c>
      <c r="X1990" s="33" t="str">
        <f>HYPERLINK("https://www.alpinabook.ru/catalog/book-chemu-ya-mogu-nauchitsya-u-shukhova","ссылка на книгу")</f>
        <v>ссылка на книгу</v>
      </c>
      <c r="Y1990" s="34" t="str">
        <f>HYPERLINK("","")</f>
        <v/>
      </c>
      <c r="Z1990" s="13"/>
      <c r="AT1990" s="1">
        <f t="shared" si="375"/>
        <v>0</v>
      </c>
      <c r="AU1990" s="1">
        <f t="shared" si="376"/>
        <v>0</v>
      </c>
      <c r="AV1990" s="1">
        <f t="shared" si="377"/>
        <v>0</v>
      </c>
      <c r="AW1990" s="1">
        <f t="shared" si="378"/>
        <v>0</v>
      </c>
      <c r="AX1990" s="1">
        <f t="shared" si="379"/>
        <v>0</v>
      </c>
    </row>
    <row r="1991" spans="1:50" s="1" customFormat="1" ht="24.95" customHeight="1" outlineLevel="3" x14ac:dyDescent="0.2">
      <c r="A1991" s="11"/>
      <c r="B1991" s="12">
        <v>440</v>
      </c>
      <c r="C1991" s="12">
        <v>690</v>
      </c>
      <c r="D1991" s="12">
        <v>30917</v>
      </c>
      <c r="E1991" s="13" t="s">
        <v>6495</v>
      </c>
      <c r="F1991" s="13" t="s">
        <v>6496</v>
      </c>
      <c r="G1991" s="13" t="s">
        <v>163</v>
      </c>
      <c r="H1991" s="13"/>
      <c r="I1991" s="12">
        <v>2025</v>
      </c>
      <c r="J1991" s="13" t="s">
        <v>6497</v>
      </c>
      <c r="K1991" s="12">
        <v>9785961496918</v>
      </c>
      <c r="L1991" s="13" t="s">
        <v>6498</v>
      </c>
      <c r="M1991" s="12">
        <v>48</v>
      </c>
      <c r="N1991" s="14">
        <v>0.21</v>
      </c>
      <c r="O1991" s="12">
        <v>170</v>
      </c>
      <c r="P1991" s="12">
        <v>220</v>
      </c>
      <c r="Q1991" s="12">
        <v>18</v>
      </c>
      <c r="R1991" s="13" t="s">
        <v>100</v>
      </c>
      <c r="S1991" s="13" t="s">
        <v>810</v>
      </c>
      <c r="T1991" s="15">
        <v>3000</v>
      </c>
      <c r="U1991" s="13" t="s">
        <v>52</v>
      </c>
      <c r="V1991" s="13" t="s">
        <v>269</v>
      </c>
      <c r="W1991" s="12">
        <v>10</v>
      </c>
      <c r="X1991" s="33" t="str">
        <f>HYPERLINK("https://www.alpinabook.ru/catalog/book-chemu-ya-mogu-nauchitsya-kemerona","ссылка на книгу")</f>
        <v>ссылка на книгу</v>
      </c>
      <c r="Y1991" s="34" t="str">
        <f>HYPERLINK("https://api-enni.alpina.ru/FileCertificateProject/663","https://api-enni.alpina.ru/FileCertificateProject/663")</f>
        <v>https://api-enni.alpina.ru/FileCertificateProject/663</v>
      </c>
      <c r="Z1991" s="13" t="s">
        <v>6499</v>
      </c>
      <c r="AT1991" s="1">
        <f t="shared" si="375"/>
        <v>0</v>
      </c>
      <c r="AU1991" s="1">
        <f t="shared" si="376"/>
        <v>0</v>
      </c>
      <c r="AV1991" s="1">
        <f t="shared" si="377"/>
        <v>0</v>
      </c>
      <c r="AW1991" s="1">
        <f t="shared" si="378"/>
        <v>0</v>
      </c>
      <c r="AX1991" s="1">
        <f t="shared" si="379"/>
        <v>0</v>
      </c>
    </row>
    <row r="1992" spans="1:50" s="1" customFormat="1" ht="24.95" customHeight="1" outlineLevel="3" x14ac:dyDescent="0.2">
      <c r="A1992" s="11"/>
      <c r="B1992" s="12">
        <v>490</v>
      </c>
      <c r="C1992" s="12">
        <v>740</v>
      </c>
      <c r="D1992" s="12">
        <v>23938</v>
      </c>
      <c r="E1992" s="13" t="s">
        <v>6500</v>
      </c>
      <c r="F1992" s="13" t="s">
        <v>6501</v>
      </c>
      <c r="G1992" s="13" t="s">
        <v>163</v>
      </c>
      <c r="H1992" s="13"/>
      <c r="I1992" s="12">
        <v>2025</v>
      </c>
      <c r="J1992" s="13" t="s">
        <v>6502</v>
      </c>
      <c r="K1992" s="12">
        <v>9785961474978</v>
      </c>
      <c r="L1992" s="13" t="s">
        <v>6503</v>
      </c>
      <c r="M1992" s="12">
        <v>32</v>
      </c>
      <c r="N1992" s="14">
        <v>0.22</v>
      </c>
      <c r="O1992" s="12">
        <v>170</v>
      </c>
      <c r="P1992" s="12">
        <v>220</v>
      </c>
      <c r="Q1992" s="12">
        <v>20</v>
      </c>
      <c r="R1992" s="13" t="s">
        <v>100</v>
      </c>
      <c r="S1992" s="13" t="s">
        <v>810</v>
      </c>
      <c r="T1992" s="15">
        <v>2000</v>
      </c>
      <c r="U1992" s="13" t="s">
        <v>52</v>
      </c>
      <c r="V1992" s="13" t="s">
        <v>269</v>
      </c>
      <c r="W1992" s="12">
        <v>10</v>
      </c>
      <c r="X1992" s="33" t="str">
        <f>HYPERLINK("https://www.alpinabook.ru/catalog/book-nauchitsya-u-plisetskoy","ссылка на книгу")</f>
        <v>ссылка на книгу</v>
      </c>
      <c r="Y1992" s="34" t="str">
        <f>HYPERLINK("https://api-enni.alpina.ru/FileCertificateProject/509","https://api-enni.alpina.ru/FileCertificateProject/509")</f>
        <v>https://api-enni.alpina.ru/FileCertificateProject/509</v>
      </c>
      <c r="Z1992" s="13" t="s">
        <v>70</v>
      </c>
      <c r="AT1992" s="1">
        <f t="shared" si="375"/>
        <v>0</v>
      </c>
      <c r="AU1992" s="1">
        <f t="shared" si="376"/>
        <v>0</v>
      </c>
      <c r="AV1992" s="1">
        <f t="shared" si="377"/>
        <v>0</v>
      </c>
      <c r="AW1992" s="1">
        <f t="shared" si="378"/>
        <v>0</v>
      </c>
      <c r="AX1992" s="1">
        <f t="shared" si="379"/>
        <v>0</v>
      </c>
    </row>
    <row r="1993" spans="1:50" s="1" customFormat="1" ht="21.95" customHeight="1" outlineLevel="3" x14ac:dyDescent="0.2">
      <c r="A1993" s="11"/>
      <c r="B1993" s="12">
        <v>440</v>
      </c>
      <c r="C1993" s="12">
        <v>740</v>
      </c>
      <c r="D1993" s="12">
        <v>29693</v>
      </c>
      <c r="E1993" s="13" t="s">
        <v>6504</v>
      </c>
      <c r="F1993" s="13" t="s">
        <v>6505</v>
      </c>
      <c r="G1993" s="13" t="s">
        <v>163</v>
      </c>
      <c r="H1993" s="13"/>
      <c r="I1993" s="12">
        <v>2024</v>
      </c>
      <c r="J1993" s="13" t="s">
        <v>6506</v>
      </c>
      <c r="K1993" s="12">
        <v>9785961493474</v>
      </c>
      <c r="L1993" s="13" t="s">
        <v>6507</v>
      </c>
      <c r="M1993" s="12">
        <v>48</v>
      </c>
      <c r="N1993" s="14">
        <v>0.21</v>
      </c>
      <c r="O1993" s="12">
        <v>170</v>
      </c>
      <c r="P1993" s="12">
        <v>220</v>
      </c>
      <c r="Q1993" s="12">
        <v>18</v>
      </c>
      <c r="R1993" s="13" t="s">
        <v>100</v>
      </c>
      <c r="S1993" s="13" t="s">
        <v>810</v>
      </c>
      <c r="T1993" s="15">
        <v>3000</v>
      </c>
      <c r="U1993" s="13" t="s">
        <v>52</v>
      </c>
      <c r="V1993" s="13" t="s">
        <v>269</v>
      </c>
      <c r="W1993" s="12">
        <v>10</v>
      </c>
      <c r="X1993" s="33" t="str">
        <f>HYPERLINK("https://www.alpinabook.ru/catalog/book-chemu-ya-mogu-nauchitsya-u-nadezhdy-ladyginoy-kots","ссылка на книгу")</f>
        <v>ссылка на книгу</v>
      </c>
      <c r="Y1993" s="34" t="str">
        <f>HYPERLINK("","")</f>
        <v/>
      </c>
      <c r="Z1993" s="13"/>
      <c r="AT1993" s="1">
        <f t="shared" si="375"/>
        <v>0</v>
      </c>
      <c r="AU1993" s="1">
        <f t="shared" si="376"/>
        <v>0</v>
      </c>
      <c r="AV1993" s="1">
        <f t="shared" si="377"/>
        <v>0</v>
      </c>
      <c r="AW1993" s="1">
        <f t="shared" si="378"/>
        <v>0</v>
      </c>
      <c r="AX1993" s="1">
        <f t="shared" si="379"/>
        <v>0</v>
      </c>
    </row>
    <row r="1994" spans="1:50" s="1" customFormat="1" ht="21.95" customHeight="1" outlineLevel="3" x14ac:dyDescent="0.2">
      <c r="A1994" s="11"/>
      <c r="B1994" s="12">
        <v>490</v>
      </c>
      <c r="C1994" s="12">
        <v>740</v>
      </c>
      <c r="D1994" s="12">
        <v>28990</v>
      </c>
      <c r="E1994" s="13" t="s">
        <v>806</v>
      </c>
      <c r="F1994" s="13" t="s">
        <v>807</v>
      </c>
      <c r="G1994" s="13" t="s">
        <v>163</v>
      </c>
      <c r="H1994" s="13"/>
      <c r="I1994" s="12">
        <v>2025</v>
      </c>
      <c r="J1994" s="13" t="s">
        <v>808</v>
      </c>
      <c r="K1994" s="12">
        <v>9785961490954</v>
      </c>
      <c r="L1994" s="13" t="s">
        <v>809</v>
      </c>
      <c r="M1994" s="12">
        <v>48</v>
      </c>
      <c r="N1994" s="14">
        <v>0.21</v>
      </c>
      <c r="O1994" s="12">
        <v>170</v>
      </c>
      <c r="P1994" s="12">
        <v>220</v>
      </c>
      <c r="Q1994" s="12">
        <v>18</v>
      </c>
      <c r="R1994" s="13" t="s">
        <v>100</v>
      </c>
      <c r="S1994" s="13" t="s">
        <v>810</v>
      </c>
      <c r="T1994" s="15">
        <v>2000</v>
      </c>
      <c r="U1994" s="13" t="s">
        <v>52</v>
      </c>
      <c r="V1994" s="13" t="s">
        <v>269</v>
      </c>
      <c r="W1994" s="12">
        <v>10</v>
      </c>
      <c r="X1994" s="33" t="str">
        <f>HYPERLINK("https://www.alpinabook.ru/catalog/book-chemu-ya-mogu-nauchitsya-u-nikolaya-drozdova","ссылка на книгу")</f>
        <v>ссылка на книгу</v>
      </c>
      <c r="Y1994" s="34" t="str">
        <f>HYPERLINK("","")</f>
        <v/>
      </c>
      <c r="Z1994" s="13" t="s">
        <v>132</v>
      </c>
      <c r="AT1994" s="1">
        <f t="shared" si="375"/>
        <v>0</v>
      </c>
      <c r="AU1994" s="1">
        <f t="shared" si="376"/>
        <v>0</v>
      </c>
      <c r="AV1994" s="1">
        <f t="shared" si="377"/>
        <v>0</v>
      </c>
      <c r="AW1994" s="1">
        <f t="shared" si="378"/>
        <v>0</v>
      </c>
      <c r="AX1994" s="1">
        <f t="shared" si="379"/>
        <v>0</v>
      </c>
    </row>
    <row r="1995" spans="1:50" s="1" customFormat="1" ht="21.95" customHeight="1" outlineLevel="3" x14ac:dyDescent="0.2">
      <c r="A1995" s="11"/>
      <c r="B1995" s="12">
        <v>440</v>
      </c>
      <c r="C1995" s="12">
        <v>740</v>
      </c>
      <c r="D1995" s="12">
        <v>26243</v>
      </c>
      <c r="E1995" s="13" t="s">
        <v>5720</v>
      </c>
      <c r="F1995" s="13" t="s">
        <v>6508</v>
      </c>
      <c r="G1995" s="13" t="s">
        <v>163</v>
      </c>
      <c r="H1995" s="13"/>
      <c r="I1995" s="12">
        <v>2024</v>
      </c>
      <c r="J1995" s="13" t="s">
        <v>6509</v>
      </c>
      <c r="K1995" s="12">
        <v>9785961480948</v>
      </c>
      <c r="L1995" s="13" t="s">
        <v>6510</v>
      </c>
      <c r="M1995" s="12">
        <v>48</v>
      </c>
      <c r="N1995" s="14">
        <v>0.21</v>
      </c>
      <c r="O1995" s="12">
        <v>140</v>
      </c>
      <c r="P1995" s="12">
        <v>220</v>
      </c>
      <c r="Q1995" s="12">
        <v>18</v>
      </c>
      <c r="R1995" s="13" t="s">
        <v>100</v>
      </c>
      <c r="S1995" s="13" t="s">
        <v>810</v>
      </c>
      <c r="T1995" s="15">
        <v>3000</v>
      </c>
      <c r="U1995" s="13" t="s">
        <v>52</v>
      </c>
      <c r="V1995" s="13" t="s">
        <v>269</v>
      </c>
      <c r="W1995" s="12">
        <v>10</v>
      </c>
      <c r="X1995" s="33" t="str">
        <f>HYPERLINK("https://www.alpinabook.ru/catalog/book-chemu-ya-mogu-nauchitsya-u-miklukho-maklaya","ссылка на книгу")</f>
        <v>ссылка на книгу</v>
      </c>
      <c r="Y1995" s="34" t="str">
        <f>HYPERLINK("","")</f>
        <v/>
      </c>
      <c r="Z1995" s="13"/>
      <c r="AT1995" s="1">
        <f t="shared" si="375"/>
        <v>0</v>
      </c>
      <c r="AU1995" s="1">
        <f t="shared" si="376"/>
        <v>0</v>
      </c>
      <c r="AV1995" s="1">
        <f t="shared" si="377"/>
        <v>0</v>
      </c>
      <c r="AW1995" s="1">
        <f t="shared" si="378"/>
        <v>0</v>
      </c>
      <c r="AX1995" s="1">
        <f t="shared" si="379"/>
        <v>0</v>
      </c>
    </row>
    <row r="1996" spans="1:50" s="1" customFormat="1" ht="24.95" customHeight="1" outlineLevel="3" x14ac:dyDescent="0.2">
      <c r="A1996" s="11"/>
      <c r="B1996" s="12">
        <v>440</v>
      </c>
      <c r="C1996" s="12">
        <v>740</v>
      </c>
      <c r="D1996" s="12">
        <v>8825</v>
      </c>
      <c r="E1996" s="13" t="s">
        <v>6511</v>
      </c>
      <c r="F1996" s="13" t="s">
        <v>6512</v>
      </c>
      <c r="G1996" s="13" t="s">
        <v>163</v>
      </c>
      <c r="H1996" s="13"/>
      <c r="I1996" s="12">
        <v>2023</v>
      </c>
      <c r="J1996" s="13" t="s">
        <v>6513</v>
      </c>
      <c r="K1996" s="12">
        <v>9785961424362</v>
      </c>
      <c r="L1996" s="13" t="s">
        <v>6514</v>
      </c>
      <c r="M1996" s="12">
        <v>32</v>
      </c>
      <c r="N1996" s="14">
        <v>0.22</v>
      </c>
      <c r="O1996" s="12">
        <v>168</v>
      </c>
      <c r="P1996" s="12">
        <v>216</v>
      </c>
      <c r="Q1996" s="12">
        <v>20</v>
      </c>
      <c r="R1996" s="13" t="s">
        <v>100</v>
      </c>
      <c r="S1996" s="13" t="s">
        <v>810</v>
      </c>
      <c r="T1996" s="15">
        <v>3000</v>
      </c>
      <c r="U1996" s="13" t="s">
        <v>52</v>
      </c>
      <c r="V1996" s="13" t="s">
        <v>269</v>
      </c>
      <c r="W1996" s="12">
        <v>10</v>
      </c>
      <c r="X1996" s="33" t="str">
        <f>HYPERLINK("https://www.alpinabook.ru/catalog/book-chemu-ya-mogu-nauchitsya-u-sergeya-korolyeva","ссылка на книгу")</f>
        <v>ссылка на книгу</v>
      </c>
      <c r="Y1996" s="34" t="str">
        <f>HYPERLINK("https://api-enni.alpina.ru/FileCertificateProject/721","https://api-enni.alpina.ru/FileCertificateProject/721")</f>
        <v>https://api-enni.alpina.ru/FileCertificateProject/721</v>
      </c>
      <c r="Z1996" s="13"/>
      <c r="AT1996" s="1">
        <f t="shared" si="375"/>
        <v>0</v>
      </c>
      <c r="AU1996" s="1">
        <f t="shared" si="376"/>
        <v>0</v>
      </c>
      <c r="AV1996" s="1">
        <f t="shared" si="377"/>
        <v>0</v>
      </c>
      <c r="AW1996" s="1">
        <f t="shared" si="378"/>
        <v>0</v>
      </c>
      <c r="AX1996" s="1">
        <f t="shared" si="379"/>
        <v>0</v>
      </c>
    </row>
    <row r="1997" spans="1:50" s="1" customFormat="1" ht="24.95" customHeight="1" outlineLevel="3" x14ac:dyDescent="0.2">
      <c r="A1997" s="11"/>
      <c r="B1997" s="12">
        <v>440</v>
      </c>
      <c r="C1997" s="12">
        <v>740</v>
      </c>
      <c r="D1997" s="12">
        <v>29691</v>
      </c>
      <c r="E1997" s="13" t="s">
        <v>3177</v>
      </c>
      <c r="F1997" s="13" t="s">
        <v>6515</v>
      </c>
      <c r="G1997" s="13" t="s">
        <v>163</v>
      </c>
      <c r="H1997" s="13"/>
      <c r="I1997" s="12">
        <v>2024</v>
      </c>
      <c r="J1997" s="13" t="s">
        <v>6516</v>
      </c>
      <c r="K1997" s="12">
        <v>9785961493450</v>
      </c>
      <c r="L1997" s="13" t="s">
        <v>6517</v>
      </c>
      <c r="M1997" s="12">
        <v>48</v>
      </c>
      <c r="N1997" s="14">
        <v>0.21</v>
      </c>
      <c r="O1997" s="12">
        <v>170</v>
      </c>
      <c r="P1997" s="12">
        <v>220</v>
      </c>
      <c r="Q1997" s="12">
        <v>18</v>
      </c>
      <c r="R1997" s="13" t="s">
        <v>100</v>
      </c>
      <c r="S1997" s="13" t="s">
        <v>810</v>
      </c>
      <c r="T1997" s="15">
        <v>3000</v>
      </c>
      <c r="U1997" s="13" t="s">
        <v>52</v>
      </c>
      <c r="V1997" s="13" t="s">
        <v>269</v>
      </c>
      <c r="W1997" s="12">
        <v>10</v>
      </c>
      <c r="X1997" s="33" t="str">
        <f>HYPERLINK("https://www.alpinabook.ru/catalog/book-chemu-ya-mogu-nauchitsya-u-rakhmaninova","ссылка на книгу")</f>
        <v>ссылка на книгу</v>
      </c>
      <c r="Y1997" s="34" t="str">
        <f>HYPERLINK("https://api-enni.alpina.ru/FileCertificateProject/511","https://api-enni.alpina.ru/FileCertificateProject/511")</f>
        <v>https://api-enni.alpina.ru/FileCertificateProject/511</v>
      </c>
      <c r="Z1997" s="13"/>
      <c r="AT1997" s="1">
        <f t="shared" si="375"/>
        <v>0</v>
      </c>
      <c r="AU1997" s="1">
        <f t="shared" si="376"/>
        <v>0</v>
      </c>
      <c r="AV1997" s="1">
        <f t="shared" si="377"/>
        <v>0</v>
      </c>
      <c r="AW1997" s="1">
        <f t="shared" si="378"/>
        <v>0</v>
      </c>
      <c r="AX1997" s="1">
        <f t="shared" si="379"/>
        <v>0</v>
      </c>
    </row>
    <row r="1998" spans="1:50" s="1" customFormat="1" ht="24.95" customHeight="1" outlineLevel="3" x14ac:dyDescent="0.2">
      <c r="A1998" s="11"/>
      <c r="B1998" s="12">
        <v>490</v>
      </c>
      <c r="C1998" s="12">
        <v>740</v>
      </c>
      <c r="D1998" s="12">
        <v>8783</v>
      </c>
      <c r="E1998" s="13" t="s">
        <v>6518</v>
      </c>
      <c r="F1998" s="13" t="s">
        <v>6519</v>
      </c>
      <c r="G1998" s="13" t="s">
        <v>163</v>
      </c>
      <c r="H1998" s="13" t="s">
        <v>40</v>
      </c>
      <c r="I1998" s="12">
        <v>2025</v>
      </c>
      <c r="J1998" s="13" t="s">
        <v>6520</v>
      </c>
      <c r="K1998" s="12">
        <v>9785961471359</v>
      </c>
      <c r="L1998" s="13" t="s">
        <v>6521</v>
      </c>
      <c r="M1998" s="12">
        <v>32</v>
      </c>
      <c r="N1998" s="14">
        <v>0.28000000000000003</v>
      </c>
      <c r="O1998" s="12">
        <v>170</v>
      </c>
      <c r="P1998" s="12">
        <v>220</v>
      </c>
      <c r="Q1998" s="12">
        <v>20</v>
      </c>
      <c r="R1998" s="13" t="s">
        <v>100</v>
      </c>
      <c r="S1998" s="13" t="s">
        <v>810</v>
      </c>
      <c r="T1998" s="15">
        <v>2000</v>
      </c>
      <c r="U1998" s="13" t="s">
        <v>52</v>
      </c>
      <c r="V1998" s="13" t="s">
        <v>269</v>
      </c>
      <c r="W1998" s="12">
        <v>10</v>
      </c>
      <c r="X1998" s="33" t="str">
        <f>HYPERLINK("https://www.alpinabook.ru/catalog/book-chemu-ya-mogu-nauchitsya-u-stiva-dzhobsa","ссылка на книгу")</f>
        <v>ссылка на книгу</v>
      </c>
      <c r="Y1998" s="34" t="str">
        <f>HYPERLINK("https://api-enni.alpina.ru/FileCertificateProject/722","https://api-enni.alpina.ru/FileCertificateProject/722")</f>
        <v>https://api-enni.alpina.ru/FileCertificateProject/722</v>
      </c>
      <c r="Z1998" s="13" t="s">
        <v>70</v>
      </c>
      <c r="AT1998" s="1">
        <f t="shared" si="375"/>
        <v>0</v>
      </c>
      <c r="AU1998" s="1">
        <f t="shared" si="376"/>
        <v>0</v>
      </c>
      <c r="AV1998" s="1">
        <f t="shared" si="377"/>
        <v>0</v>
      </c>
      <c r="AW1998" s="1">
        <f t="shared" si="378"/>
        <v>0</v>
      </c>
      <c r="AX1998" s="1">
        <f t="shared" si="379"/>
        <v>0</v>
      </c>
    </row>
    <row r="1999" spans="1:50" s="1" customFormat="1" ht="21.95" customHeight="1" outlineLevel="3" x14ac:dyDescent="0.2">
      <c r="A1999" s="11"/>
      <c r="B1999" s="12">
        <v>490</v>
      </c>
      <c r="C1999" s="12">
        <v>740</v>
      </c>
      <c r="D1999" s="12">
        <v>8824</v>
      </c>
      <c r="E1999" s="13" t="s">
        <v>6522</v>
      </c>
      <c r="F1999" s="13" t="s">
        <v>6523</v>
      </c>
      <c r="G1999" s="13" t="s">
        <v>163</v>
      </c>
      <c r="H1999" s="13"/>
      <c r="I1999" s="12">
        <v>2024</v>
      </c>
      <c r="J1999" s="13" t="s">
        <v>6524</v>
      </c>
      <c r="K1999" s="12">
        <v>9785961420005</v>
      </c>
      <c r="L1999" s="13" t="s">
        <v>6525</v>
      </c>
      <c r="M1999" s="12">
        <v>32</v>
      </c>
      <c r="N1999" s="14">
        <v>0.22</v>
      </c>
      <c r="O1999" s="12">
        <v>169</v>
      </c>
      <c r="P1999" s="12">
        <v>217</v>
      </c>
      <c r="Q1999" s="12">
        <v>20</v>
      </c>
      <c r="R1999" s="13" t="s">
        <v>100</v>
      </c>
      <c r="S1999" s="13" t="s">
        <v>810</v>
      </c>
      <c r="T1999" s="15">
        <v>1500</v>
      </c>
      <c r="U1999" s="13" t="s">
        <v>52</v>
      </c>
      <c r="V1999" s="13" t="s">
        <v>64</v>
      </c>
      <c r="W1999" s="12">
        <v>10</v>
      </c>
      <c r="X1999" s="33" t="str">
        <f>HYPERLINK("https://www.alpinabook.ru/catalog/book-chemu-ya-mogu-nauchitsya-u-stivena-khokinga","ссылка на книгу")</f>
        <v>ссылка на книгу</v>
      </c>
      <c r="Y1999" s="34" t="str">
        <f>HYPERLINK("","")</f>
        <v/>
      </c>
      <c r="Z1999" s="13"/>
      <c r="AT1999" s="1">
        <f t="shared" si="375"/>
        <v>0</v>
      </c>
      <c r="AU1999" s="1">
        <f t="shared" si="376"/>
        <v>0</v>
      </c>
      <c r="AV1999" s="1">
        <f t="shared" si="377"/>
        <v>0</v>
      </c>
      <c r="AW1999" s="1">
        <f t="shared" si="378"/>
        <v>0</v>
      </c>
      <c r="AX1999" s="1">
        <f t="shared" si="379"/>
        <v>0</v>
      </c>
    </row>
    <row r="2000" spans="1:50" s="1" customFormat="1" ht="24.95" customHeight="1" outlineLevel="3" x14ac:dyDescent="0.2">
      <c r="A2000" s="11"/>
      <c r="B2000" s="12">
        <v>440</v>
      </c>
      <c r="C2000" s="12">
        <v>740</v>
      </c>
      <c r="D2000" s="12">
        <v>27872</v>
      </c>
      <c r="E2000" s="13" t="s">
        <v>6487</v>
      </c>
      <c r="F2000" s="13" t="s">
        <v>6526</v>
      </c>
      <c r="G2000" s="13" t="s">
        <v>163</v>
      </c>
      <c r="H2000" s="13"/>
      <c r="I2000" s="12">
        <v>2023</v>
      </c>
      <c r="J2000" s="13" t="s">
        <v>6527</v>
      </c>
      <c r="K2000" s="12">
        <v>9785961487619</v>
      </c>
      <c r="L2000" s="13" t="s">
        <v>6528</v>
      </c>
      <c r="M2000" s="12">
        <v>48</v>
      </c>
      <c r="N2000" s="14">
        <v>0.21</v>
      </c>
      <c r="O2000" s="12">
        <v>170</v>
      </c>
      <c r="P2000" s="12">
        <v>220</v>
      </c>
      <c r="Q2000" s="12">
        <v>18</v>
      </c>
      <c r="R2000" s="13" t="s">
        <v>100</v>
      </c>
      <c r="S2000" s="13" t="s">
        <v>810</v>
      </c>
      <c r="T2000" s="15">
        <v>3000</v>
      </c>
      <c r="U2000" s="13" t="s">
        <v>52</v>
      </c>
      <c r="V2000" s="13" t="s">
        <v>269</v>
      </c>
      <c r="W2000" s="12">
        <v>10</v>
      </c>
      <c r="X2000" s="33" t="str">
        <f>HYPERLINK("https://www.alpinabook.ru/catalog/book-chemu-ya-mogu-nauchitsya-u-tuve-yansson","ссылка на книгу")</f>
        <v>ссылка на книгу</v>
      </c>
      <c r="Y2000" s="34" t="str">
        <f>HYPERLINK("https://api-enni.alpina.ru/FileCertificateProject/510","https://api-enni.alpina.ru/FileCertificateProject/510")</f>
        <v>https://api-enni.alpina.ru/FileCertificateProject/510</v>
      </c>
      <c r="Z2000" s="13"/>
      <c r="AT2000" s="1">
        <f t="shared" si="375"/>
        <v>0</v>
      </c>
      <c r="AU2000" s="1">
        <f t="shared" si="376"/>
        <v>0</v>
      </c>
      <c r="AV2000" s="1">
        <f t="shared" si="377"/>
        <v>0</v>
      </c>
      <c r="AW2000" s="1">
        <f t="shared" si="378"/>
        <v>0</v>
      </c>
      <c r="AX2000" s="1">
        <f t="shared" si="379"/>
        <v>0</v>
      </c>
    </row>
    <row r="2001" spans="1:50" s="1" customFormat="1" ht="24.95" customHeight="1" outlineLevel="3" x14ac:dyDescent="0.2">
      <c r="A2001" s="11"/>
      <c r="B2001" s="12">
        <v>490</v>
      </c>
      <c r="C2001" s="12">
        <v>740</v>
      </c>
      <c r="D2001" s="12">
        <v>26264</v>
      </c>
      <c r="E2001" s="13" t="s">
        <v>6529</v>
      </c>
      <c r="F2001" s="13" t="s">
        <v>6530</v>
      </c>
      <c r="G2001" s="13" t="s">
        <v>163</v>
      </c>
      <c r="H2001" s="13"/>
      <c r="I2001" s="12">
        <v>2025</v>
      </c>
      <c r="J2001" s="13" t="s">
        <v>6531</v>
      </c>
      <c r="K2001" s="12">
        <v>9785961481006</v>
      </c>
      <c r="L2001" s="13" t="s">
        <v>6532</v>
      </c>
      <c r="M2001" s="12">
        <v>32</v>
      </c>
      <c r="N2001" s="14">
        <v>0.19</v>
      </c>
      <c r="O2001" s="12">
        <v>170</v>
      </c>
      <c r="P2001" s="12">
        <v>220</v>
      </c>
      <c r="Q2001" s="12">
        <v>20</v>
      </c>
      <c r="R2001" s="13" t="s">
        <v>100</v>
      </c>
      <c r="S2001" s="13" t="s">
        <v>810</v>
      </c>
      <c r="T2001" s="15">
        <v>2000</v>
      </c>
      <c r="U2001" s="13" t="s">
        <v>52</v>
      </c>
      <c r="V2001" s="13" t="s">
        <v>269</v>
      </c>
      <c r="W2001" s="12">
        <v>10</v>
      </c>
      <c r="X2001" s="33" t="str">
        <f>HYPERLINK("https://www.alpinabook.ru/catalog/book-chemu-ya-mogu-nauchitsya-u-yuriya-gagarina","ссылка на книгу")</f>
        <v>ссылка на книгу</v>
      </c>
      <c r="Y2001" s="34" t="str">
        <f>HYPERLINK("https://api-enni.alpina.ru/FileCertificateProject/451","https://api-enni.alpina.ru/FileCertificateProject/451")</f>
        <v>https://api-enni.alpina.ru/FileCertificateProject/451</v>
      </c>
      <c r="Z2001" s="13" t="s">
        <v>70</v>
      </c>
      <c r="AT2001" s="1">
        <f t="shared" si="375"/>
        <v>0</v>
      </c>
      <c r="AU2001" s="1">
        <f t="shared" si="376"/>
        <v>0</v>
      </c>
      <c r="AV2001" s="1">
        <f t="shared" si="377"/>
        <v>0</v>
      </c>
      <c r="AW2001" s="1">
        <f t="shared" si="378"/>
        <v>0</v>
      </c>
      <c r="AX2001" s="1">
        <f t="shared" si="379"/>
        <v>0</v>
      </c>
    </row>
    <row r="2002" spans="1:50" ht="11.1" customHeight="1" outlineLevel="2" x14ac:dyDescent="0.2">
      <c r="A2002" s="40" t="s">
        <v>6533</v>
      </c>
      <c r="B2002" s="40"/>
      <c r="C2002" s="40"/>
      <c r="D2002" s="40"/>
      <c r="E2002" s="40"/>
      <c r="F2002" s="40"/>
      <c r="G2002" s="40"/>
      <c r="H2002" s="40"/>
      <c r="I2002" s="40"/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20"/>
    </row>
    <row r="2003" spans="1:50" s="1" customFormat="1" ht="21.95" customHeight="1" outlineLevel="3" x14ac:dyDescent="0.2">
      <c r="A2003" s="11"/>
      <c r="B2003" s="12">
        <v>390</v>
      </c>
      <c r="C2003" s="12">
        <v>390</v>
      </c>
      <c r="D2003" s="12">
        <v>17699</v>
      </c>
      <c r="E2003" s="13" t="s">
        <v>6534</v>
      </c>
      <c r="F2003" s="13" t="s">
        <v>6535</v>
      </c>
      <c r="G2003" s="13" t="s">
        <v>163</v>
      </c>
      <c r="H2003" s="13" t="s">
        <v>434</v>
      </c>
      <c r="I2003" s="12">
        <v>2020</v>
      </c>
      <c r="J2003" s="13" t="s">
        <v>6536</v>
      </c>
      <c r="K2003" s="12">
        <v>9785961432008</v>
      </c>
      <c r="L2003" s="13" t="s">
        <v>6537</v>
      </c>
      <c r="M2003" s="12">
        <v>40</v>
      </c>
      <c r="N2003" s="14">
        <v>0.31</v>
      </c>
      <c r="O2003" s="12">
        <v>204</v>
      </c>
      <c r="P2003" s="12">
        <v>257</v>
      </c>
      <c r="Q2003" s="12">
        <v>16</v>
      </c>
      <c r="R2003" s="13" t="s">
        <v>300</v>
      </c>
      <c r="S2003" s="13" t="s">
        <v>6538</v>
      </c>
      <c r="T2003" s="15">
        <v>3000</v>
      </c>
      <c r="U2003" s="13" t="s">
        <v>52</v>
      </c>
      <c r="V2003" s="13" t="s">
        <v>64</v>
      </c>
      <c r="W2003" s="12">
        <v>10</v>
      </c>
      <c r="X2003" s="33" t="str">
        <f>HYPERLINK("https://www.alpinabook.ru/catalog/book-610476","ссылка на книгу")</f>
        <v>ссылка на книгу</v>
      </c>
      <c r="Y2003" s="34" t="str">
        <f>HYPERLINK("","")</f>
        <v/>
      </c>
      <c r="Z2003" s="13"/>
      <c r="AT2003" s="1">
        <f>IF($A2003&lt;&gt;0,1,0)</f>
        <v>0</v>
      </c>
      <c r="AU2003" s="1">
        <f>$A2003*$B2003</f>
        <v>0</v>
      </c>
      <c r="AV2003" s="1">
        <f>$A2003*$N2003</f>
        <v>0</v>
      </c>
      <c r="AW2003" s="1">
        <f>IF($Q2003=0,0,INT($A2003/$Q2003))</f>
        <v>0</v>
      </c>
      <c r="AX2003" s="1">
        <f>$A2003-$AW2003*$Q2003</f>
        <v>0</v>
      </c>
    </row>
    <row r="2004" spans="1:50" s="1" customFormat="1" ht="24.95" customHeight="1" outlineLevel="3" x14ac:dyDescent="0.2">
      <c r="A2004" s="11"/>
      <c r="B2004" s="12">
        <v>390</v>
      </c>
      <c r="C2004" s="12">
        <v>390</v>
      </c>
      <c r="D2004" s="12">
        <v>18171</v>
      </c>
      <c r="E2004" s="13" t="s">
        <v>6539</v>
      </c>
      <c r="F2004" s="13" t="s">
        <v>6540</v>
      </c>
      <c r="G2004" s="13" t="s">
        <v>163</v>
      </c>
      <c r="H2004" s="13" t="s">
        <v>164</v>
      </c>
      <c r="I2004" s="12">
        <v>2020</v>
      </c>
      <c r="J2004" s="13" t="s">
        <v>6541</v>
      </c>
      <c r="K2004" s="12">
        <v>9785961436037</v>
      </c>
      <c r="L2004" s="13" t="s">
        <v>6542</v>
      </c>
      <c r="M2004" s="12">
        <v>32</v>
      </c>
      <c r="N2004" s="14">
        <v>0.3</v>
      </c>
      <c r="O2004" s="12">
        <v>226</v>
      </c>
      <c r="P2004" s="12">
        <v>225</v>
      </c>
      <c r="Q2004" s="12">
        <v>20</v>
      </c>
      <c r="R2004" s="13" t="s">
        <v>167</v>
      </c>
      <c r="S2004" s="13" t="s">
        <v>6538</v>
      </c>
      <c r="T2004" s="15">
        <v>3000</v>
      </c>
      <c r="U2004" s="13" t="s">
        <v>52</v>
      </c>
      <c r="V2004" s="13" t="s">
        <v>64</v>
      </c>
      <c r="W2004" s="12">
        <v>10</v>
      </c>
      <c r="X2004" s="33" t="str">
        <f>HYPERLINK("https://www.alpinabook.ru/catalog/book-654752","ссылка на книгу")</f>
        <v>ссылка на книгу</v>
      </c>
      <c r="Y2004" s="34" t="str">
        <f>HYPERLINK("https://api-enni.alpina.ru/FileCertificateProject/99","https://api-enni.alpina.ru/FileCertificateProject/99")</f>
        <v>https://api-enni.alpina.ru/FileCertificateProject/99</v>
      </c>
      <c r="Z2004" s="13"/>
      <c r="AT2004" s="1">
        <f>IF($A2004&lt;&gt;0,1,0)</f>
        <v>0</v>
      </c>
      <c r="AU2004" s="1">
        <f>$A2004*$B2004</f>
        <v>0</v>
      </c>
      <c r="AV2004" s="1">
        <f>$A2004*$N2004</f>
        <v>0</v>
      </c>
      <c r="AW2004" s="1">
        <f>IF($Q2004=0,0,INT($A2004/$Q2004))</f>
        <v>0</v>
      </c>
      <c r="AX2004" s="1">
        <f>$A2004-$AW2004*$Q2004</f>
        <v>0</v>
      </c>
    </row>
    <row r="2005" spans="1:50" s="1" customFormat="1" ht="24.95" customHeight="1" outlineLevel="3" x14ac:dyDescent="0.2">
      <c r="A2005" s="11"/>
      <c r="B2005" s="12">
        <v>390</v>
      </c>
      <c r="C2005" s="12">
        <v>390</v>
      </c>
      <c r="D2005" s="12">
        <v>18065</v>
      </c>
      <c r="E2005" s="13" t="s">
        <v>6539</v>
      </c>
      <c r="F2005" s="13" t="s">
        <v>6543</v>
      </c>
      <c r="G2005" s="13" t="s">
        <v>163</v>
      </c>
      <c r="H2005" s="13" t="s">
        <v>164</v>
      </c>
      <c r="I2005" s="12">
        <v>2020</v>
      </c>
      <c r="J2005" s="13" t="s">
        <v>6544</v>
      </c>
      <c r="K2005" s="12">
        <v>9785961433043</v>
      </c>
      <c r="L2005" s="13" t="s">
        <v>6545</v>
      </c>
      <c r="M2005" s="12">
        <v>32</v>
      </c>
      <c r="N2005" s="14">
        <v>0.3</v>
      </c>
      <c r="O2005" s="12">
        <v>226</v>
      </c>
      <c r="P2005" s="12">
        <v>225</v>
      </c>
      <c r="Q2005" s="12">
        <v>20</v>
      </c>
      <c r="R2005" s="13" t="s">
        <v>167</v>
      </c>
      <c r="S2005" s="13" t="s">
        <v>6538</v>
      </c>
      <c r="T2005" s="15">
        <v>3000</v>
      </c>
      <c r="U2005" s="13" t="s">
        <v>52</v>
      </c>
      <c r="V2005" s="13" t="s">
        <v>269</v>
      </c>
      <c r="W2005" s="12">
        <v>10</v>
      </c>
      <c r="X2005" s="33" t="str">
        <f>HYPERLINK("https://www.alpinabook.ru/catalog/book-628663","ссылка на книгу")</f>
        <v>ссылка на книгу</v>
      </c>
      <c r="Y2005" s="34" t="str">
        <f>HYPERLINK("https://api-enni.alpina.ru/FileCertificateProject/96","https://api-enni.alpina.ru/FileCertificateProject/96")</f>
        <v>https://api-enni.alpina.ru/FileCertificateProject/96</v>
      </c>
      <c r="Z2005" s="13"/>
      <c r="AT2005" s="1">
        <f>IF($A2005&lt;&gt;0,1,0)</f>
        <v>0</v>
      </c>
      <c r="AU2005" s="1">
        <f>$A2005*$B2005</f>
        <v>0</v>
      </c>
      <c r="AV2005" s="1">
        <f>$A2005*$N2005</f>
        <v>0</v>
      </c>
      <c r="AW2005" s="1">
        <f>IF($Q2005=0,0,INT($A2005/$Q2005))</f>
        <v>0</v>
      </c>
      <c r="AX2005" s="1">
        <f>$A2005-$AW2005*$Q2005</f>
        <v>0</v>
      </c>
    </row>
    <row r="2006" spans="1:50" ht="11.1" customHeight="1" outlineLevel="2" x14ac:dyDescent="0.2">
      <c r="A2006" s="40" t="s">
        <v>6546</v>
      </c>
      <c r="B2006" s="40"/>
      <c r="C2006" s="40"/>
      <c r="D2006" s="40"/>
      <c r="E2006" s="40"/>
      <c r="F2006" s="40"/>
      <c r="G2006" s="40"/>
      <c r="H2006" s="40"/>
      <c r="I2006" s="40"/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20"/>
    </row>
    <row r="2007" spans="1:50" s="1" customFormat="1" ht="21.95" customHeight="1" outlineLevel="3" x14ac:dyDescent="0.2">
      <c r="A2007" s="11"/>
      <c r="B2007" s="12">
        <v>360</v>
      </c>
      <c r="C2007" s="12">
        <v>590</v>
      </c>
      <c r="D2007" s="12">
        <v>28860</v>
      </c>
      <c r="E2007" s="13" t="s">
        <v>6547</v>
      </c>
      <c r="F2007" s="13" t="s">
        <v>6548</v>
      </c>
      <c r="G2007" s="13" t="s">
        <v>163</v>
      </c>
      <c r="H2007" s="13" t="s">
        <v>1391</v>
      </c>
      <c r="I2007" s="12">
        <v>2023</v>
      </c>
      <c r="J2007" s="13" t="s">
        <v>6549</v>
      </c>
      <c r="K2007" s="12">
        <v>9785961490343</v>
      </c>
      <c r="L2007" s="13" t="s">
        <v>6550</v>
      </c>
      <c r="M2007" s="12">
        <v>30</v>
      </c>
      <c r="N2007" s="14">
        <v>0.18</v>
      </c>
      <c r="O2007" s="12">
        <v>190</v>
      </c>
      <c r="P2007" s="12">
        <v>210</v>
      </c>
      <c r="Q2007" s="12">
        <v>25</v>
      </c>
      <c r="R2007" s="13" t="s">
        <v>167</v>
      </c>
      <c r="S2007" s="13" t="s">
        <v>6551</v>
      </c>
      <c r="T2007" s="15">
        <v>2500</v>
      </c>
      <c r="U2007" s="13" t="s">
        <v>52</v>
      </c>
      <c r="V2007" s="13" t="s">
        <v>64</v>
      </c>
      <c r="W2007" s="12">
        <v>10</v>
      </c>
      <c r="X2007" s="33" t="str">
        <f>HYPERLINK("https://www.alpinabook.ru/catalog/book-lenivaya-rybka-lenni","ссылка на книгу")</f>
        <v>ссылка на книгу</v>
      </c>
      <c r="Y2007" s="34" t="str">
        <f>HYPERLINK("","")</f>
        <v/>
      </c>
      <c r="Z2007" s="13"/>
      <c r="AT2007" s="1">
        <f>IF($A2007&lt;&gt;0,1,0)</f>
        <v>0</v>
      </c>
      <c r="AU2007" s="1">
        <f>$A2007*$B2007</f>
        <v>0</v>
      </c>
      <c r="AV2007" s="1">
        <f>$A2007*$N2007</f>
        <v>0</v>
      </c>
      <c r="AW2007" s="1">
        <f>IF($Q2007=0,0,INT($A2007/$Q2007))</f>
        <v>0</v>
      </c>
      <c r="AX2007" s="1">
        <f>$A2007-$AW2007*$Q2007</f>
        <v>0</v>
      </c>
    </row>
    <row r="2008" spans="1:50" s="1" customFormat="1" ht="24.95" customHeight="1" outlineLevel="3" x14ac:dyDescent="0.2">
      <c r="A2008" s="11"/>
      <c r="B2008" s="12">
        <v>340</v>
      </c>
      <c r="C2008" s="12">
        <v>540</v>
      </c>
      <c r="D2008" s="12">
        <v>28110</v>
      </c>
      <c r="E2008" s="13" t="s">
        <v>6547</v>
      </c>
      <c r="F2008" s="13" t="s">
        <v>6552</v>
      </c>
      <c r="G2008" s="13" t="s">
        <v>163</v>
      </c>
      <c r="H2008" s="13" t="s">
        <v>1391</v>
      </c>
      <c r="I2008" s="12">
        <v>2023</v>
      </c>
      <c r="J2008" s="13" t="s">
        <v>6553</v>
      </c>
      <c r="K2008" s="12">
        <v>9785961489415</v>
      </c>
      <c r="L2008" s="13" t="s">
        <v>6554</v>
      </c>
      <c r="M2008" s="12">
        <v>30</v>
      </c>
      <c r="N2008" s="14">
        <v>0.19</v>
      </c>
      <c r="O2008" s="12">
        <v>190</v>
      </c>
      <c r="P2008" s="12">
        <v>210</v>
      </c>
      <c r="Q2008" s="12">
        <v>20</v>
      </c>
      <c r="R2008" s="13" t="s">
        <v>167</v>
      </c>
      <c r="S2008" s="13" t="s">
        <v>6551</v>
      </c>
      <c r="T2008" s="15">
        <v>2000</v>
      </c>
      <c r="U2008" s="13" t="s">
        <v>52</v>
      </c>
      <c r="V2008" s="13" t="s">
        <v>64</v>
      </c>
      <c r="W2008" s="12">
        <v>10</v>
      </c>
      <c r="X2008" s="33" t="str">
        <f>HYPERLINK("https://www.alpinabook.ru/catalog/book-neterpelivyy-komar-ozzi","ссылка на книгу")</f>
        <v>ссылка на книгу</v>
      </c>
      <c r="Y2008" s="34" t="str">
        <f>HYPERLINK("https://api-enni.alpina.ru/FileCertificateProject/127","https://api-enni.alpina.ru/FileCertificateProject/127")</f>
        <v>https://api-enni.alpina.ru/FileCertificateProject/127</v>
      </c>
      <c r="Z2008" s="13"/>
      <c r="AT2008" s="1">
        <f>IF($A2008&lt;&gt;0,1,0)</f>
        <v>0</v>
      </c>
      <c r="AU2008" s="1">
        <f>$A2008*$B2008</f>
        <v>0</v>
      </c>
      <c r="AV2008" s="1">
        <f>$A2008*$N2008</f>
        <v>0</v>
      </c>
      <c r="AW2008" s="1">
        <f>IF($Q2008=0,0,INT($A2008/$Q2008))</f>
        <v>0</v>
      </c>
      <c r="AX2008" s="1">
        <f>$A2008-$AW2008*$Q2008</f>
        <v>0</v>
      </c>
    </row>
    <row r="2009" spans="1:50" s="1" customFormat="1" ht="24.95" customHeight="1" outlineLevel="3" x14ac:dyDescent="0.2">
      <c r="A2009" s="11"/>
      <c r="B2009" s="12">
        <v>340</v>
      </c>
      <c r="C2009" s="12">
        <v>540</v>
      </c>
      <c r="D2009" s="12">
        <v>28109</v>
      </c>
      <c r="E2009" s="13" t="s">
        <v>6547</v>
      </c>
      <c r="F2009" s="13" t="s">
        <v>6555</v>
      </c>
      <c r="G2009" s="13" t="s">
        <v>163</v>
      </c>
      <c r="H2009" s="13" t="s">
        <v>1391</v>
      </c>
      <c r="I2009" s="12">
        <v>2023</v>
      </c>
      <c r="J2009" s="13" t="s">
        <v>6556</v>
      </c>
      <c r="K2009" s="12">
        <v>9785961489408</v>
      </c>
      <c r="L2009" s="13" t="s">
        <v>6557</v>
      </c>
      <c r="M2009" s="12">
        <v>30</v>
      </c>
      <c r="N2009" s="14">
        <v>0.18</v>
      </c>
      <c r="O2009" s="12">
        <v>210</v>
      </c>
      <c r="P2009" s="12">
        <v>190</v>
      </c>
      <c r="Q2009" s="12">
        <v>20</v>
      </c>
      <c r="R2009" s="13" t="s">
        <v>167</v>
      </c>
      <c r="S2009" s="13" t="s">
        <v>6551</v>
      </c>
      <c r="T2009" s="15">
        <v>2000</v>
      </c>
      <c r="U2009" s="13" t="s">
        <v>52</v>
      </c>
      <c r="V2009" s="13" t="s">
        <v>5626</v>
      </c>
      <c r="W2009" s="12">
        <v>10</v>
      </c>
      <c r="X2009" s="33" t="str">
        <f>HYPERLINK("https://www.alpinabook.ru/catalog/book-revnivaya-lyagushka-kvaka","ссылка на книгу")</f>
        <v>ссылка на книгу</v>
      </c>
      <c r="Y2009" s="34" t="str">
        <f>HYPERLINK("https://api-enni.alpina.ru/FileCertificateProject/128","https://api-enni.alpina.ru/FileCertificateProject/128")</f>
        <v>https://api-enni.alpina.ru/FileCertificateProject/128</v>
      </c>
      <c r="Z2009" s="13"/>
      <c r="AT2009" s="1">
        <f>IF($A2009&lt;&gt;0,1,0)</f>
        <v>0</v>
      </c>
      <c r="AU2009" s="1">
        <f>$A2009*$B2009</f>
        <v>0</v>
      </c>
      <c r="AV2009" s="1">
        <f>$A2009*$N2009</f>
        <v>0</v>
      </c>
      <c r="AW2009" s="1">
        <f>IF($Q2009=0,0,INT($A2009/$Q2009))</f>
        <v>0</v>
      </c>
      <c r="AX2009" s="1">
        <f>$A2009-$AW2009*$Q2009</f>
        <v>0</v>
      </c>
    </row>
    <row r="2010" spans="1:50" s="1" customFormat="1" ht="24.95" customHeight="1" outlineLevel="3" x14ac:dyDescent="0.2">
      <c r="A2010" s="11"/>
      <c r="B2010" s="12">
        <v>340</v>
      </c>
      <c r="C2010" s="12">
        <v>540</v>
      </c>
      <c r="D2010" s="12">
        <v>19388</v>
      </c>
      <c r="E2010" s="13" t="s">
        <v>6547</v>
      </c>
      <c r="F2010" s="13" t="s">
        <v>6558</v>
      </c>
      <c r="G2010" s="13" t="s">
        <v>163</v>
      </c>
      <c r="H2010" s="13" t="s">
        <v>1391</v>
      </c>
      <c r="I2010" s="12">
        <v>2022</v>
      </c>
      <c r="J2010" s="13" t="s">
        <v>6559</v>
      </c>
      <c r="K2010" s="12">
        <v>9785961446418</v>
      </c>
      <c r="L2010" s="13" t="s">
        <v>6560</v>
      </c>
      <c r="M2010" s="12">
        <v>30</v>
      </c>
      <c r="N2010" s="14">
        <v>0.3</v>
      </c>
      <c r="O2010" s="12">
        <v>247</v>
      </c>
      <c r="P2010" s="12">
        <v>226</v>
      </c>
      <c r="Q2010" s="12">
        <v>16</v>
      </c>
      <c r="R2010" s="13" t="s">
        <v>167</v>
      </c>
      <c r="S2010" s="13" t="s">
        <v>6551</v>
      </c>
      <c r="T2010" s="15">
        <v>2000</v>
      </c>
      <c r="U2010" s="13" t="s">
        <v>52</v>
      </c>
      <c r="V2010" s="13" t="s">
        <v>5626</v>
      </c>
      <c r="W2010" s="12">
        <v>10</v>
      </c>
      <c r="X2010" s="33" t="str">
        <f>HYPERLINK("https://www.alpinabook.ru/catalog/book-stesnitelnyy-pyes-rob","ссылка на книгу")</f>
        <v>ссылка на книгу</v>
      </c>
      <c r="Y2010" s="34" t="str">
        <f>HYPERLINK("https://api-enni.alpina.ru/FileCertificateProject/129","https://api-enni.alpina.ru/FileCertificateProject/129")</f>
        <v>https://api-enni.alpina.ru/FileCertificateProject/129</v>
      </c>
      <c r="Z2010" s="13"/>
      <c r="AT2010" s="1">
        <f>IF($A2010&lt;&gt;0,1,0)</f>
        <v>0</v>
      </c>
      <c r="AU2010" s="1">
        <f>$A2010*$B2010</f>
        <v>0</v>
      </c>
      <c r="AV2010" s="1">
        <f>$A2010*$N2010</f>
        <v>0</v>
      </c>
      <c r="AW2010" s="1">
        <f>IF($Q2010=0,0,INT($A2010/$Q2010))</f>
        <v>0</v>
      </c>
      <c r="AX2010" s="1">
        <f>$A2010-$AW2010*$Q2010</f>
        <v>0</v>
      </c>
    </row>
    <row r="2011" spans="1:50" s="1" customFormat="1" ht="21.95" customHeight="1" outlineLevel="3" x14ac:dyDescent="0.2">
      <c r="A2011" s="11"/>
      <c r="B2011" s="12">
        <v>650</v>
      </c>
      <c r="C2011" s="12">
        <v>650</v>
      </c>
      <c r="D2011" s="12">
        <v>25318</v>
      </c>
      <c r="E2011" s="13" t="s">
        <v>6547</v>
      </c>
      <c r="F2011" s="13" t="s">
        <v>6561</v>
      </c>
      <c r="G2011" s="13" t="s">
        <v>163</v>
      </c>
      <c r="H2011" s="13" t="s">
        <v>1391</v>
      </c>
      <c r="I2011" s="12">
        <v>2022</v>
      </c>
      <c r="J2011" s="13" t="s">
        <v>6562</v>
      </c>
      <c r="K2011" s="12">
        <v>9785961477528</v>
      </c>
      <c r="L2011" s="13" t="s">
        <v>6563</v>
      </c>
      <c r="M2011" s="12">
        <v>70</v>
      </c>
      <c r="N2011" s="14">
        <v>0.4</v>
      </c>
      <c r="O2011" s="12">
        <v>246</v>
      </c>
      <c r="P2011" s="12">
        <v>226</v>
      </c>
      <c r="Q2011" s="12">
        <v>12</v>
      </c>
      <c r="R2011" s="13" t="s">
        <v>167</v>
      </c>
      <c r="S2011" s="13" t="s">
        <v>6551</v>
      </c>
      <c r="T2011" s="15">
        <v>3000</v>
      </c>
      <c r="U2011" s="13" t="s">
        <v>52</v>
      </c>
      <c r="V2011" s="13" t="s">
        <v>64</v>
      </c>
      <c r="W2011" s="12">
        <v>10</v>
      </c>
      <c r="X2011" s="33" t="str">
        <f>HYPERLINK("https://www.alpinabook.ru/catalog/book-yezhik-kolyuchka-basni","ссылка на книгу")</f>
        <v>ссылка на книгу</v>
      </c>
      <c r="Y2011" s="34" t="str">
        <f>HYPERLINK("","")</f>
        <v/>
      </c>
      <c r="Z2011" s="13"/>
      <c r="AT2011" s="1">
        <f>IF($A2011&lt;&gt;0,1,0)</f>
        <v>0</v>
      </c>
      <c r="AU2011" s="1">
        <f>$A2011*$B2011</f>
        <v>0</v>
      </c>
      <c r="AV2011" s="1">
        <f>$A2011*$N2011</f>
        <v>0</v>
      </c>
      <c r="AW2011" s="1">
        <f>IF($Q2011=0,0,INT($A2011/$Q2011))</f>
        <v>0</v>
      </c>
      <c r="AX2011" s="1">
        <f>$A2011-$AW2011*$Q2011</f>
        <v>0</v>
      </c>
    </row>
    <row r="2012" spans="1:50" ht="11.1" customHeight="1" outlineLevel="2" x14ac:dyDescent="0.2">
      <c r="A2012" s="40" t="s">
        <v>6564</v>
      </c>
      <c r="B2012" s="40"/>
      <c r="C2012" s="40"/>
      <c r="D2012" s="40"/>
      <c r="E2012" s="40"/>
      <c r="F2012" s="40"/>
      <c r="G2012" s="40"/>
      <c r="H2012" s="40"/>
      <c r="I2012" s="40"/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20"/>
    </row>
    <row r="2013" spans="1:50" s="1" customFormat="1" ht="24.95" customHeight="1" outlineLevel="3" x14ac:dyDescent="0.2">
      <c r="A2013" s="11"/>
      <c r="B2013" s="12">
        <v>300</v>
      </c>
      <c r="C2013" s="12">
        <v>300</v>
      </c>
      <c r="D2013" s="12">
        <v>19131</v>
      </c>
      <c r="E2013" s="13" t="s">
        <v>6565</v>
      </c>
      <c r="F2013" s="13" t="s">
        <v>6566</v>
      </c>
      <c r="G2013" s="13" t="s">
        <v>163</v>
      </c>
      <c r="H2013" s="13" t="s">
        <v>6567</v>
      </c>
      <c r="I2013" s="12">
        <v>2023</v>
      </c>
      <c r="J2013" s="13" t="s">
        <v>6568</v>
      </c>
      <c r="K2013" s="12">
        <v>9785961438550</v>
      </c>
      <c r="L2013" s="13" t="s">
        <v>6569</v>
      </c>
      <c r="M2013" s="12">
        <v>28</v>
      </c>
      <c r="N2013" s="14">
        <v>0.19</v>
      </c>
      <c r="O2013" s="12">
        <v>170</v>
      </c>
      <c r="P2013" s="12">
        <v>221</v>
      </c>
      <c r="Q2013" s="12">
        <v>20</v>
      </c>
      <c r="R2013" s="13" t="s">
        <v>100</v>
      </c>
      <c r="S2013" s="13" t="s">
        <v>6570</v>
      </c>
      <c r="T2013" s="15">
        <v>2000</v>
      </c>
      <c r="U2013" s="13" t="s">
        <v>52</v>
      </c>
      <c r="V2013" s="13" t="s">
        <v>269</v>
      </c>
      <c r="W2013" s="12">
        <v>10</v>
      </c>
      <c r="X2013" s="33" t="str">
        <f>HYPERLINK("https://www.alpinabook.ru/catalog/book-pyart-i-posledniy-kusok-torta","ссылка на книгу")</f>
        <v>ссылка на книгу</v>
      </c>
      <c r="Y2013" s="34" t="str">
        <f>HYPERLINK("https://api-enni.alpina.ru/FileCertificateProject/119","https://api-enni.alpina.ru/FileCertificateProject/119")</f>
        <v>https://api-enni.alpina.ru/FileCertificateProject/119</v>
      </c>
      <c r="Z2013" s="13"/>
      <c r="AT2013" s="1">
        <f>IF($A2013&lt;&gt;0,1,0)</f>
        <v>0</v>
      </c>
      <c r="AU2013" s="1">
        <f>$A2013*$B2013</f>
        <v>0</v>
      </c>
      <c r="AV2013" s="1">
        <f>$A2013*$N2013</f>
        <v>0</v>
      </c>
      <c r="AW2013" s="1">
        <f>IF($Q2013=0,0,INT($A2013/$Q2013))</f>
        <v>0</v>
      </c>
      <c r="AX2013" s="1">
        <f>$A2013-$AW2013*$Q2013</f>
        <v>0</v>
      </c>
    </row>
    <row r="2014" spans="1:50" s="1" customFormat="1" ht="24.95" customHeight="1" outlineLevel="3" x14ac:dyDescent="0.2">
      <c r="A2014" s="11"/>
      <c r="B2014" s="12">
        <v>300</v>
      </c>
      <c r="C2014" s="12">
        <v>540</v>
      </c>
      <c r="D2014" s="12">
        <v>19130</v>
      </c>
      <c r="E2014" s="13" t="s">
        <v>6565</v>
      </c>
      <c r="F2014" s="13" t="s">
        <v>6571</v>
      </c>
      <c r="G2014" s="13" t="s">
        <v>163</v>
      </c>
      <c r="H2014" s="13" t="s">
        <v>6567</v>
      </c>
      <c r="I2014" s="12">
        <v>2023</v>
      </c>
      <c r="J2014" s="13" t="s">
        <v>6572</v>
      </c>
      <c r="K2014" s="12">
        <v>9785961438543</v>
      </c>
      <c r="L2014" s="13" t="s">
        <v>6573</v>
      </c>
      <c r="M2014" s="12">
        <v>26</v>
      </c>
      <c r="N2014" s="14">
        <v>0.17</v>
      </c>
      <c r="O2014" s="12">
        <v>170</v>
      </c>
      <c r="P2014" s="12">
        <v>221</v>
      </c>
      <c r="Q2014" s="12">
        <v>20</v>
      </c>
      <c r="R2014" s="13" t="s">
        <v>100</v>
      </c>
      <c r="S2014" s="13" t="s">
        <v>6570</v>
      </c>
      <c r="T2014" s="15">
        <v>2000</v>
      </c>
      <c r="U2014" s="13" t="s">
        <v>52</v>
      </c>
      <c r="V2014" s="13" t="s">
        <v>269</v>
      </c>
      <c r="W2014" s="12">
        <v>10</v>
      </c>
      <c r="X2014" s="33" t="str">
        <f>HYPERLINK("https://www.alpinabook.ru/catalog/book-pyart-i-sosedskie-slivy","ссылка на книгу")</f>
        <v>ссылка на книгу</v>
      </c>
      <c r="Y2014" s="34" t="str">
        <f>HYPERLINK("https://api-enni.alpina.ru/FileCertificateProject/548","https://api-enni.alpina.ru/FileCertificateProject/548")</f>
        <v>https://api-enni.alpina.ru/FileCertificateProject/548</v>
      </c>
      <c r="Z2014" s="13"/>
      <c r="AT2014" s="1">
        <f>IF($A2014&lt;&gt;0,1,0)</f>
        <v>0</v>
      </c>
      <c r="AU2014" s="1">
        <f>$A2014*$B2014</f>
        <v>0</v>
      </c>
      <c r="AV2014" s="1">
        <f>$A2014*$N2014</f>
        <v>0</v>
      </c>
      <c r="AW2014" s="1">
        <f>IF($Q2014=0,0,INT($A2014/$Q2014))</f>
        <v>0</v>
      </c>
      <c r="AX2014" s="1">
        <f>$A2014-$AW2014*$Q2014</f>
        <v>0</v>
      </c>
    </row>
    <row r="2015" spans="1:50" s="1" customFormat="1" ht="24.95" customHeight="1" outlineLevel="3" x14ac:dyDescent="0.2">
      <c r="A2015" s="11"/>
      <c r="B2015" s="12">
        <v>350</v>
      </c>
      <c r="C2015" s="12">
        <v>540</v>
      </c>
      <c r="D2015" s="12">
        <v>19128</v>
      </c>
      <c r="E2015" s="13" t="s">
        <v>6565</v>
      </c>
      <c r="F2015" s="13" t="s">
        <v>6574</v>
      </c>
      <c r="G2015" s="13" t="s">
        <v>163</v>
      </c>
      <c r="H2015" s="13" t="s">
        <v>6567</v>
      </c>
      <c r="I2015" s="12">
        <v>2021</v>
      </c>
      <c r="J2015" s="13" t="s">
        <v>6575</v>
      </c>
      <c r="K2015" s="12">
        <v>9785961438529</v>
      </c>
      <c r="L2015" s="13" t="s">
        <v>6576</v>
      </c>
      <c r="M2015" s="12">
        <v>26</v>
      </c>
      <c r="N2015" s="14">
        <v>0.17</v>
      </c>
      <c r="O2015" s="12">
        <v>170</v>
      </c>
      <c r="P2015" s="12">
        <v>221</v>
      </c>
      <c r="Q2015" s="12">
        <v>20</v>
      </c>
      <c r="R2015" s="13" t="s">
        <v>100</v>
      </c>
      <c r="S2015" s="13" t="s">
        <v>6570</v>
      </c>
      <c r="T2015" s="15">
        <v>2000</v>
      </c>
      <c r="U2015" s="13" t="s">
        <v>52</v>
      </c>
      <c r="V2015" s="13" t="s">
        <v>269</v>
      </c>
      <c r="W2015" s="12">
        <v>10</v>
      </c>
      <c r="X2015" s="33" t="str">
        <f>HYPERLINK("https://www.alpinabook.ru/catalog/book-706363","ссылка на книгу")</f>
        <v>ссылка на книгу</v>
      </c>
      <c r="Y2015" s="34" t="str">
        <f>HYPERLINK("https://api-enni.alpina.ru/FileCertificateProject/549","https://api-enni.alpina.ru/FileCertificateProject/549")</f>
        <v>https://api-enni.alpina.ru/FileCertificateProject/549</v>
      </c>
      <c r="Z2015" s="13"/>
      <c r="AT2015" s="1">
        <f>IF($A2015&lt;&gt;0,1,0)</f>
        <v>0</v>
      </c>
      <c r="AU2015" s="1">
        <f>$A2015*$B2015</f>
        <v>0</v>
      </c>
      <c r="AV2015" s="1">
        <f>$A2015*$N2015</f>
        <v>0</v>
      </c>
      <c r="AW2015" s="1">
        <f>IF($Q2015=0,0,INT($A2015/$Q2015))</f>
        <v>0</v>
      </c>
      <c r="AX2015" s="1">
        <f>$A2015-$AW2015*$Q2015</f>
        <v>0</v>
      </c>
    </row>
    <row r="2016" spans="1:50" s="1" customFormat="1" ht="24.95" customHeight="1" outlineLevel="3" x14ac:dyDescent="0.2">
      <c r="A2016" s="11"/>
      <c r="B2016" s="12">
        <v>350</v>
      </c>
      <c r="C2016" s="12">
        <v>350</v>
      </c>
      <c r="D2016" s="12">
        <v>19132</v>
      </c>
      <c r="E2016" s="13" t="s">
        <v>6565</v>
      </c>
      <c r="F2016" s="13" t="s">
        <v>6577</v>
      </c>
      <c r="G2016" s="13" t="s">
        <v>163</v>
      </c>
      <c r="H2016" s="13" t="s">
        <v>6567</v>
      </c>
      <c r="I2016" s="12">
        <v>2021</v>
      </c>
      <c r="J2016" s="13" t="s">
        <v>6578</v>
      </c>
      <c r="K2016" s="12">
        <v>9785961438567</v>
      </c>
      <c r="L2016" s="13" t="s">
        <v>6579</v>
      </c>
      <c r="M2016" s="12">
        <v>26</v>
      </c>
      <c r="N2016" s="14">
        <v>0.24</v>
      </c>
      <c r="O2016" s="12">
        <v>170</v>
      </c>
      <c r="P2016" s="12">
        <v>221</v>
      </c>
      <c r="Q2016" s="12">
        <v>20</v>
      </c>
      <c r="R2016" s="13" t="s">
        <v>100</v>
      </c>
      <c r="S2016" s="13" t="s">
        <v>6570</v>
      </c>
      <c r="T2016" s="15">
        <v>2000</v>
      </c>
      <c r="U2016" s="13" t="s">
        <v>52</v>
      </c>
      <c r="V2016" s="13" t="s">
        <v>269</v>
      </c>
      <c r="W2016" s="12">
        <v>10</v>
      </c>
      <c r="X2016" s="33" t="str">
        <f>HYPERLINK("https://www.alpinabook.ru/catalog/book-709694","ссылка на книгу")</f>
        <v>ссылка на книгу</v>
      </c>
      <c r="Y2016" s="34" t="str">
        <f>HYPERLINK("https://api-enni.alpina.ru/FileCertificateProject/120","https://api-enni.alpina.ru/FileCertificateProject/120")</f>
        <v>https://api-enni.alpina.ru/FileCertificateProject/120</v>
      </c>
      <c r="Z2016" s="13"/>
      <c r="AT2016" s="1">
        <f>IF($A2016&lt;&gt;0,1,0)</f>
        <v>0</v>
      </c>
      <c r="AU2016" s="1">
        <f>$A2016*$B2016</f>
        <v>0</v>
      </c>
      <c r="AV2016" s="1">
        <f>$A2016*$N2016</f>
        <v>0</v>
      </c>
      <c r="AW2016" s="1">
        <f>IF($Q2016=0,0,INT($A2016/$Q2016))</f>
        <v>0</v>
      </c>
      <c r="AX2016" s="1">
        <f>$A2016-$AW2016*$Q2016</f>
        <v>0</v>
      </c>
    </row>
    <row r="2017" spans="1:50" s="1" customFormat="1" ht="24.95" customHeight="1" outlineLevel="3" x14ac:dyDescent="0.2">
      <c r="A2017" s="11"/>
      <c r="B2017" s="12">
        <v>350</v>
      </c>
      <c r="C2017" s="12">
        <v>350</v>
      </c>
      <c r="D2017" s="12">
        <v>19129</v>
      </c>
      <c r="E2017" s="13" t="s">
        <v>6565</v>
      </c>
      <c r="F2017" s="13" t="s">
        <v>6580</v>
      </c>
      <c r="G2017" s="13" t="s">
        <v>163</v>
      </c>
      <c r="H2017" s="13" t="s">
        <v>6567</v>
      </c>
      <c r="I2017" s="12">
        <v>2021</v>
      </c>
      <c r="J2017" s="13" t="s">
        <v>6581</v>
      </c>
      <c r="K2017" s="12">
        <v>9785961438536</v>
      </c>
      <c r="L2017" s="13" t="s">
        <v>6582</v>
      </c>
      <c r="M2017" s="12">
        <v>26</v>
      </c>
      <c r="N2017" s="14">
        <v>0.18</v>
      </c>
      <c r="O2017" s="12">
        <v>170</v>
      </c>
      <c r="P2017" s="12">
        <v>221</v>
      </c>
      <c r="Q2017" s="12">
        <v>20</v>
      </c>
      <c r="R2017" s="13" t="s">
        <v>100</v>
      </c>
      <c r="S2017" s="13" t="s">
        <v>6570</v>
      </c>
      <c r="T2017" s="15">
        <v>2000</v>
      </c>
      <c r="U2017" s="13" t="s">
        <v>52</v>
      </c>
      <c r="V2017" s="13" t="s">
        <v>269</v>
      </c>
      <c r="W2017" s="12">
        <v>10</v>
      </c>
      <c r="X2017" s="33" t="str">
        <f>HYPERLINK("https://www.alpinabook.ru/catalog/book-679850","ссылка на книгу")</f>
        <v>ссылка на книгу</v>
      </c>
      <c r="Y2017" s="34" t="str">
        <f>HYPERLINK("https://api-enni.alpina.ru/FileCertificateProject/117","https://api-enni.alpina.ru/FileCertificateProject/117")</f>
        <v>https://api-enni.alpina.ru/FileCertificateProject/117</v>
      </c>
      <c r="Z2017" s="13"/>
      <c r="AT2017" s="1">
        <f>IF($A2017&lt;&gt;0,1,0)</f>
        <v>0</v>
      </c>
      <c r="AU2017" s="1">
        <f>$A2017*$B2017</f>
        <v>0</v>
      </c>
      <c r="AV2017" s="1">
        <f>$A2017*$N2017</f>
        <v>0</v>
      </c>
      <c r="AW2017" s="1">
        <f>IF($Q2017=0,0,INT($A2017/$Q2017))</f>
        <v>0</v>
      </c>
      <c r="AX2017" s="1">
        <f>$A2017-$AW2017*$Q2017</f>
        <v>0</v>
      </c>
    </row>
    <row r="2018" spans="1:50" ht="11.1" customHeight="1" outlineLevel="2" x14ac:dyDescent="0.2">
      <c r="A2018" s="40" t="s">
        <v>6583</v>
      </c>
      <c r="B2018" s="40"/>
      <c r="C2018" s="40"/>
      <c r="D2018" s="40"/>
      <c r="E2018" s="40"/>
      <c r="F2018" s="40"/>
      <c r="G2018" s="40"/>
      <c r="H2018" s="40"/>
      <c r="I2018" s="40"/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20"/>
    </row>
    <row r="2019" spans="1:50" s="1" customFormat="1" ht="24.95" customHeight="1" outlineLevel="3" x14ac:dyDescent="0.2">
      <c r="A2019" s="11"/>
      <c r="B2019" s="12">
        <v>440</v>
      </c>
      <c r="C2019" s="12">
        <v>540</v>
      </c>
      <c r="D2019" s="12">
        <v>22294</v>
      </c>
      <c r="E2019" s="13" t="s">
        <v>6584</v>
      </c>
      <c r="F2019" s="13" t="s">
        <v>6585</v>
      </c>
      <c r="G2019" s="13" t="s">
        <v>163</v>
      </c>
      <c r="H2019" s="13" t="s">
        <v>164</v>
      </c>
      <c r="I2019" s="12">
        <v>2025</v>
      </c>
      <c r="J2019" s="13" t="s">
        <v>6586</v>
      </c>
      <c r="K2019" s="12">
        <v>9785961447118</v>
      </c>
      <c r="L2019" s="13" t="s">
        <v>6587</v>
      </c>
      <c r="M2019" s="12">
        <v>12</v>
      </c>
      <c r="N2019" s="14">
        <v>0.14000000000000001</v>
      </c>
      <c r="O2019" s="12">
        <v>180</v>
      </c>
      <c r="P2019" s="12">
        <v>180</v>
      </c>
      <c r="Q2019" s="12">
        <v>20</v>
      </c>
      <c r="R2019" s="13" t="s">
        <v>167</v>
      </c>
      <c r="S2019" s="13" t="s">
        <v>6588</v>
      </c>
      <c r="T2019" s="15">
        <v>3000</v>
      </c>
      <c r="U2019" s="13" t="s">
        <v>44</v>
      </c>
      <c r="V2019" s="13" t="s">
        <v>64</v>
      </c>
      <c r="W2019" s="12">
        <v>10</v>
      </c>
      <c r="X2019" s="33" t="str">
        <f>HYPERLINK("https://www.alpinabook.ru/catalog/book-yakob-v-detskom-sadu","ссылка на книгу")</f>
        <v>ссылка на книгу</v>
      </c>
      <c r="Y2019" s="34" t="str">
        <f>HYPERLINK("https://api-enni.alpina.ru/FileCertificateProject/422","https://api-enni.alpina.ru/FileCertificateProject/422")</f>
        <v>https://api-enni.alpina.ru/FileCertificateProject/422</v>
      </c>
      <c r="Z2019" s="13"/>
      <c r="AT2019" s="1">
        <f t="shared" ref="AT2019:AT2044" si="380">IF($A2019&lt;&gt;0,1,0)</f>
        <v>0</v>
      </c>
      <c r="AU2019" s="1">
        <f t="shared" ref="AU2019:AU2044" si="381">$A2019*$B2019</f>
        <v>0</v>
      </c>
      <c r="AV2019" s="1">
        <f t="shared" ref="AV2019:AV2044" si="382">$A2019*$N2019</f>
        <v>0</v>
      </c>
      <c r="AW2019" s="1">
        <f t="shared" ref="AW2019:AW2044" si="383">IF($Q2019=0,0,INT($A2019/$Q2019))</f>
        <v>0</v>
      </c>
      <c r="AX2019" s="1">
        <f t="shared" ref="AX2019:AX2044" si="384">$A2019-$AW2019*$Q2019</f>
        <v>0</v>
      </c>
    </row>
    <row r="2020" spans="1:50" s="1" customFormat="1" ht="24.95" customHeight="1" outlineLevel="3" x14ac:dyDescent="0.2">
      <c r="A2020" s="11"/>
      <c r="B2020" s="12">
        <v>440</v>
      </c>
      <c r="C2020" s="12">
        <v>690</v>
      </c>
      <c r="D2020" s="12">
        <v>32495</v>
      </c>
      <c r="E2020" s="13" t="s">
        <v>6126</v>
      </c>
      <c r="F2020" s="13" t="s">
        <v>6589</v>
      </c>
      <c r="G2020" s="13" t="s">
        <v>163</v>
      </c>
      <c r="H2020" s="13" t="s">
        <v>164</v>
      </c>
      <c r="I2020" s="12">
        <v>2025</v>
      </c>
      <c r="J2020" s="13" t="s">
        <v>6590</v>
      </c>
      <c r="K2020" s="12">
        <v>9785006302631</v>
      </c>
      <c r="L2020" s="13" t="s">
        <v>6591</v>
      </c>
      <c r="M2020" s="12">
        <v>12</v>
      </c>
      <c r="N2020" s="14">
        <v>0.13</v>
      </c>
      <c r="O2020" s="12">
        <v>180</v>
      </c>
      <c r="P2020" s="12">
        <v>180</v>
      </c>
      <c r="Q2020" s="12">
        <v>20</v>
      </c>
      <c r="R2020" s="13" t="s">
        <v>167</v>
      </c>
      <c r="S2020" s="13" t="s">
        <v>6588</v>
      </c>
      <c r="T2020" s="15">
        <v>3000</v>
      </c>
      <c r="U2020" s="13" t="s">
        <v>44</v>
      </c>
      <c r="V2020" s="13" t="s">
        <v>64</v>
      </c>
      <c r="W2020" s="12">
        <v>10</v>
      </c>
      <c r="X2020" s="33" t="str">
        <f>HYPERLINK("https://www.alpinabook.ru/catalog/book-yakob-v-poliklinike","ссылка на книгу")</f>
        <v>ссылка на книгу</v>
      </c>
      <c r="Y2020" s="34" t="str">
        <f>HYPERLINK("https://api-enni.alpina.ru/FileCertificateProject/718","https://api-enni.alpina.ru/FileCertificateProject/718")</f>
        <v>https://api-enni.alpina.ru/FileCertificateProject/718</v>
      </c>
      <c r="Z2020" s="13"/>
      <c r="AT2020" s="1">
        <f t="shared" si="380"/>
        <v>0</v>
      </c>
      <c r="AU2020" s="1">
        <f t="shared" si="381"/>
        <v>0</v>
      </c>
      <c r="AV2020" s="1">
        <f t="shared" si="382"/>
        <v>0</v>
      </c>
      <c r="AW2020" s="1">
        <f t="shared" si="383"/>
        <v>0</v>
      </c>
      <c r="AX2020" s="1">
        <f t="shared" si="384"/>
        <v>0</v>
      </c>
    </row>
    <row r="2021" spans="1:50" s="1" customFormat="1" ht="24.95" customHeight="1" outlineLevel="3" x14ac:dyDescent="0.2">
      <c r="A2021" s="11"/>
      <c r="B2021" s="12">
        <v>440</v>
      </c>
      <c r="C2021" s="12">
        <v>540</v>
      </c>
      <c r="D2021" s="12">
        <v>23649</v>
      </c>
      <c r="E2021" s="13" t="s">
        <v>6126</v>
      </c>
      <c r="F2021" s="13" t="s">
        <v>6592</v>
      </c>
      <c r="G2021" s="13" t="s">
        <v>163</v>
      </c>
      <c r="H2021" s="13" t="s">
        <v>164</v>
      </c>
      <c r="I2021" s="12">
        <v>2024</v>
      </c>
      <c r="J2021" s="13" t="s">
        <v>6593</v>
      </c>
      <c r="K2021" s="12">
        <v>9785961477535</v>
      </c>
      <c r="L2021" s="13" t="s">
        <v>6594</v>
      </c>
      <c r="M2021" s="12">
        <v>12</v>
      </c>
      <c r="N2021" s="14">
        <v>0.15</v>
      </c>
      <c r="O2021" s="12">
        <v>180</v>
      </c>
      <c r="P2021" s="12">
        <v>180</v>
      </c>
      <c r="Q2021" s="12">
        <v>20</v>
      </c>
      <c r="R2021" s="13" t="s">
        <v>167</v>
      </c>
      <c r="S2021" s="13" t="s">
        <v>6588</v>
      </c>
      <c r="T2021" s="15">
        <v>2000</v>
      </c>
      <c r="U2021" s="13" t="s">
        <v>44</v>
      </c>
      <c r="V2021" s="13" t="s">
        <v>64</v>
      </c>
      <c r="W2021" s="12">
        <v>10</v>
      </c>
      <c r="X2021" s="33" t="str">
        <f>HYPERLINK("https://www.alpinabook.ru/catalog/book-yakob-vse-sam","ссылка на книгу")</f>
        <v>ссылка на книгу</v>
      </c>
      <c r="Y2021" s="34" t="str">
        <f>HYPERLINK("https://api-enni.alpina.ru/FileCertificateProject/499","https://api-enni.alpina.ru/FileCertificateProject/499")</f>
        <v>https://api-enni.alpina.ru/FileCertificateProject/499</v>
      </c>
      <c r="Z2021" s="13"/>
      <c r="AT2021" s="1">
        <f t="shared" si="380"/>
        <v>0</v>
      </c>
      <c r="AU2021" s="1">
        <f t="shared" si="381"/>
        <v>0</v>
      </c>
      <c r="AV2021" s="1">
        <f t="shared" si="382"/>
        <v>0</v>
      </c>
      <c r="AW2021" s="1">
        <f t="shared" si="383"/>
        <v>0</v>
      </c>
      <c r="AX2021" s="1">
        <f t="shared" si="384"/>
        <v>0</v>
      </c>
    </row>
    <row r="2022" spans="1:50" s="1" customFormat="1" ht="24.95" customHeight="1" outlineLevel="3" x14ac:dyDescent="0.2">
      <c r="A2022" s="11"/>
      <c r="B2022" s="12">
        <v>440</v>
      </c>
      <c r="C2022" s="12">
        <v>540</v>
      </c>
      <c r="D2022" s="12">
        <v>30944</v>
      </c>
      <c r="E2022" s="13" t="s">
        <v>6126</v>
      </c>
      <c r="F2022" s="13" t="s">
        <v>6595</v>
      </c>
      <c r="G2022" s="13" t="s">
        <v>163</v>
      </c>
      <c r="H2022" s="13" t="s">
        <v>164</v>
      </c>
      <c r="I2022" s="12">
        <v>2024</v>
      </c>
      <c r="J2022" s="13" t="s">
        <v>6596</v>
      </c>
      <c r="K2022" s="12">
        <v>9785961497021</v>
      </c>
      <c r="L2022" s="13" t="s">
        <v>6597</v>
      </c>
      <c r="M2022" s="12">
        <v>12</v>
      </c>
      <c r="N2022" s="14">
        <v>0.14000000000000001</v>
      </c>
      <c r="O2022" s="12">
        <v>170</v>
      </c>
      <c r="P2022" s="12">
        <v>170</v>
      </c>
      <c r="Q2022" s="12">
        <v>20</v>
      </c>
      <c r="R2022" s="13" t="s">
        <v>167</v>
      </c>
      <c r="S2022" s="13" t="s">
        <v>6588</v>
      </c>
      <c r="T2022" s="15">
        <v>2000</v>
      </c>
      <c r="U2022" s="13" t="s">
        <v>44</v>
      </c>
      <c r="V2022" s="13" t="s">
        <v>64</v>
      </c>
      <c r="W2022" s="12">
        <v>10</v>
      </c>
      <c r="X2022" s="33" t="str">
        <f>HYPERLINK("https://www.alpinabook.ru/catalog/book-yakob-govorit-net","ссылка на книгу")</f>
        <v>ссылка на книгу</v>
      </c>
      <c r="Y2022" s="34" t="str">
        <f>HYPERLINK("https://api-enni.alpina.ru/FileCertificateProject/752","https://api-enni.alpina.ru/FileCertificateProject/752")</f>
        <v>https://api-enni.alpina.ru/FileCertificateProject/752</v>
      </c>
      <c r="Z2022" s="13"/>
      <c r="AT2022" s="1">
        <f t="shared" si="380"/>
        <v>0</v>
      </c>
      <c r="AU2022" s="1">
        <f t="shared" si="381"/>
        <v>0</v>
      </c>
      <c r="AV2022" s="1">
        <f t="shared" si="382"/>
        <v>0</v>
      </c>
      <c r="AW2022" s="1">
        <f t="shared" si="383"/>
        <v>0</v>
      </c>
      <c r="AX2022" s="1">
        <f t="shared" si="384"/>
        <v>0</v>
      </c>
    </row>
    <row r="2023" spans="1:50" s="1" customFormat="1" ht="24.95" customHeight="1" outlineLevel="3" x14ac:dyDescent="0.2">
      <c r="A2023" s="11"/>
      <c r="B2023" s="12">
        <v>340</v>
      </c>
      <c r="C2023" s="12">
        <v>540</v>
      </c>
      <c r="D2023" s="12">
        <v>27257</v>
      </c>
      <c r="E2023" s="13" t="s">
        <v>6126</v>
      </c>
      <c r="F2023" s="13" t="s">
        <v>6598</v>
      </c>
      <c r="G2023" s="13" t="s">
        <v>163</v>
      </c>
      <c r="H2023" s="13" t="s">
        <v>164</v>
      </c>
      <c r="I2023" s="12">
        <v>2023</v>
      </c>
      <c r="J2023" s="13" t="s">
        <v>6599</v>
      </c>
      <c r="K2023" s="12">
        <v>9785961484434</v>
      </c>
      <c r="L2023" s="13" t="s">
        <v>6600</v>
      </c>
      <c r="M2023" s="12">
        <v>12</v>
      </c>
      <c r="N2023" s="14">
        <v>0.15</v>
      </c>
      <c r="O2023" s="12">
        <v>180</v>
      </c>
      <c r="P2023" s="12">
        <v>180</v>
      </c>
      <c r="Q2023" s="12">
        <v>35</v>
      </c>
      <c r="R2023" s="13" t="s">
        <v>167</v>
      </c>
      <c r="S2023" s="13" t="s">
        <v>6588</v>
      </c>
      <c r="T2023" s="15">
        <v>2000</v>
      </c>
      <c r="U2023" s="13" t="s">
        <v>44</v>
      </c>
      <c r="V2023" s="13" t="s">
        <v>64</v>
      </c>
      <c r="W2023" s="12">
        <v>10</v>
      </c>
      <c r="X2023" s="33" t="str">
        <f>HYPERLINK("https://www.alpinabook.ru/catalog/book-yakob-zanimaetsya-gimnastikoy","ссылка на книгу")</f>
        <v>ссылка на книгу</v>
      </c>
      <c r="Y2023" s="34" t="str">
        <f>HYPERLINK("https://api-enni.alpina.ru/FileCertificateProject/539","https://api-enni.alpina.ru/FileCertificateProject/539")</f>
        <v>https://api-enni.alpina.ru/FileCertificateProject/539</v>
      </c>
      <c r="Z2023" s="13"/>
      <c r="AT2023" s="1">
        <f t="shared" si="380"/>
        <v>0</v>
      </c>
      <c r="AU2023" s="1">
        <f t="shared" si="381"/>
        <v>0</v>
      </c>
      <c r="AV2023" s="1">
        <f t="shared" si="382"/>
        <v>0</v>
      </c>
      <c r="AW2023" s="1">
        <f t="shared" si="383"/>
        <v>0</v>
      </c>
      <c r="AX2023" s="1">
        <f t="shared" si="384"/>
        <v>0</v>
      </c>
    </row>
    <row r="2024" spans="1:50" s="1" customFormat="1" ht="24.95" customHeight="1" outlineLevel="3" x14ac:dyDescent="0.2">
      <c r="A2024" s="11"/>
      <c r="B2024" s="12">
        <v>390</v>
      </c>
      <c r="C2024" s="12">
        <v>540</v>
      </c>
      <c r="D2024" s="12">
        <v>23648</v>
      </c>
      <c r="E2024" s="13" t="s">
        <v>6126</v>
      </c>
      <c r="F2024" s="13" t="s">
        <v>6601</v>
      </c>
      <c r="G2024" s="13" t="s">
        <v>163</v>
      </c>
      <c r="H2024" s="13" t="s">
        <v>164</v>
      </c>
      <c r="I2024" s="12">
        <v>2024</v>
      </c>
      <c r="J2024" s="13" t="s">
        <v>6602</v>
      </c>
      <c r="K2024" s="12">
        <v>9785961480603</v>
      </c>
      <c r="L2024" s="13" t="s">
        <v>6603</v>
      </c>
      <c r="M2024" s="12">
        <v>12</v>
      </c>
      <c r="N2024" s="14">
        <v>0.15</v>
      </c>
      <c r="O2024" s="12">
        <v>180</v>
      </c>
      <c r="P2024" s="12">
        <v>180</v>
      </c>
      <c r="Q2024" s="12">
        <v>20</v>
      </c>
      <c r="R2024" s="13" t="s">
        <v>167</v>
      </c>
      <c r="S2024" s="13" t="s">
        <v>6588</v>
      </c>
      <c r="T2024" s="15">
        <v>2000</v>
      </c>
      <c r="U2024" s="13" t="s">
        <v>44</v>
      </c>
      <c r="V2024" s="13" t="s">
        <v>64</v>
      </c>
      <c r="W2024" s="12">
        <v>10</v>
      </c>
      <c r="X2024" s="33" t="str">
        <f>HYPERLINK("https://www.alpinabook.ru/catalog/book-yakob-zlitsya","ссылка на книгу")</f>
        <v>ссылка на книгу</v>
      </c>
      <c r="Y2024" s="34" t="str">
        <f>HYPERLINK("https://api-enni.alpina.ru/FileCertificateProject/543","https://api-enni.alpina.ru/FileCertificateProject/543")</f>
        <v>https://api-enni.alpina.ru/FileCertificateProject/543</v>
      </c>
      <c r="Z2024" s="13"/>
      <c r="AT2024" s="1">
        <f t="shared" si="380"/>
        <v>0</v>
      </c>
      <c r="AU2024" s="1">
        <f t="shared" si="381"/>
        <v>0</v>
      </c>
      <c r="AV2024" s="1">
        <f t="shared" si="382"/>
        <v>0</v>
      </c>
      <c r="AW2024" s="1">
        <f t="shared" si="383"/>
        <v>0</v>
      </c>
      <c r="AX2024" s="1">
        <f t="shared" si="384"/>
        <v>0</v>
      </c>
    </row>
    <row r="2025" spans="1:50" s="1" customFormat="1" ht="24.95" customHeight="1" outlineLevel="3" x14ac:dyDescent="0.2">
      <c r="A2025" s="11"/>
      <c r="B2025" s="12">
        <v>390</v>
      </c>
      <c r="C2025" s="12">
        <v>540</v>
      </c>
      <c r="D2025" s="12">
        <v>23058</v>
      </c>
      <c r="E2025" s="13" t="s">
        <v>6604</v>
      </c>
      <c r="F2025" s="13" t="s">
        <v>6605</v>
      </c>
      <c r="G2025" s="13" t="s">
        <v>163</v>
      </c>
      <c r="H2025" s="13" t="s">
        <v>164</v>
      </c>
      <c r="I2025" s="12">
        <v>2021</v>
      </c>
      <c r="J2025" s="13" t="s">
        <v>6606</v>
      </c>
      <c r="K2025" s="12">
        <v>9785961471656</v>
      </c>
      <c r="L2025" s="13" t="s">
        <v>6607</v>
      </c>
      <c r="M2025" s="12">
        <v>12</v>
      </c>
      <c r="N2025" s="14">
        <v>0.16</v>
      </c>
      <c r="O2025" s="12">
        <v>180</v>
      </c>
      <c r="P2025" s="12">
        <v>180</v>
      </c>
      <c r="Q2025" s="12">
        <v>40</v>
      </c>
      <c r="R2025" s="13" t="s">
        <v>167</v>
      </c>
      <c r="S2025" s="13" t="s">
        <v>6588</v>
      </c>
      <c r="T2025" s="15">
        <v>3000</v>
      </c>
      <c r="U2025" s="13" t="s">
        <v>44</v>
      </c>
      <c r="V2025" s="13" t="s">
        <v>64</v>
      </c>
      <c r="W2025" s="12">
        <v>10</v>
      </c>
      <c r="X2025" s="33" t="str">
        <f>HYPERLINK("https://www.alpinabook.ru/catalog/book-707169","ссылка на книгу")</f>
        <v>ссылка на книгу</v>
      </c>
      <c r="Y2025" s="34" t="str">
        <f>HYPERLINK("https://api-enni.alpina.ru/FileCertificateProject/754","https://api-enni.alpina.ru/FileCertificateProject/754")</f>
        <v>https://api-enni.alpina.ru/FileCertificateProject/754</v>
      </c>
      <c r="Z2025" s="13"/>
      <c r="AT2025" s="1">
        <f t="shared" si="380"/>
        <v>0</v>
      </c>
      <c r="AU2025" s="1">
        <f t="shared" si="381"/>
        <v>0</v>
      </c>
      <c r="AV2025" s="1">
        <f t="shared" si="382"/>
        <v>0</v>
      </c>
      <c r="AW2025" s="1">
        <f t="shared" si="383"/>
        <v>0</v>
      </c>
      <c r="AX2025" s="1">
        <f t="shared" si="384"/>
        <v>0</v>
      </c>
    </row>
    <row r="2026" spans="1:50" s="1" customFormat="1" ht="24.95" customHeight="1" outlineLevel="3" x14ac:dyDescent="0.2">
      <c r="A2026" s="11"/>
      <c r="B2026" s="12">
        <v>390</v>
      </c>
      <c r="C2026" s="12">
        <v>540</v>
      </c>
      <c r="D2026" s="12">
        <v>23641</v>
      </c>
      <c r="E2026" s="13" t="s">
        <v>6126</v>
      </c>
      <c r="F2026" s="13" t="s">
        <v>6608</v>
      </c>
      <c r="G2026" s="13" t="s">
        <v>163</v>
      </c>
      <c r="H2026" s="13" t="s">
        <v>164</v>
      </c>
      <c r="I2026" s="12">
        <v>2023</v>
      </c>
      <c r="J2026" s="13" t="s">
        <v>6609</v>
      </c>
      <c r="K2026" s="12">
        <v>9785961476651</v>
      </c>
      <c r="L2026" s="13" t="s">
        <v>6610</v>
      </c>
      <c r="M2026" s="12">
        <v>20</v>
      </c>
      <c r="N2026" s="14">
        <v>0.23</v>
      </c>
      <c r="O2026" s="12">
        <v>180</v>
      </c>
      <c r="P2026" s="12">
        <v>180</v>
      </c>
      <c r="Q2026" s="12">
        <v>50</v>
      </c>
      <c r="R2026" s="13" t="s">
        <v>167</v>
      </c>
      <c r="S2026" s="13" t="s">
        <v>6588</v>
      </c>
      <c r="T2026" s="15">
        <v>3000</v>
      </c>
      <c r="U2026" s="13" t="s">
        <v>44</v>
      </c>
      <c r="V2026" s="13" t="s">
        <v>64</v>
      </c>
      <c r="W2026" s="12">
        <v>10</v>
      </c>
      <c r="X2026" s="33" t="str">
        <f>HYPERLINK("https://www.alpinabook.ru/catalog/book-yakob-i-konni-ne-boyatsya-temnoty","ссылка на книгу")</f>
        <v>ссылка на книгу</v>
      </c>
      <c r="Y2026" s="34" t="str">
        <f>HYPERLINK("https://api-enni.alpina.ru/FileCertificateProject/196","https://api-enni.alpina.ru/FileCertificateProject/196")</f>
        <v>https://api-enni.alpina.ru/FileCertificateProject/196</v>
      </c>
      <c r="Z2026" s="13"/>
      <c r="AT2026" s="1">
        <f t="shared" si="380"/>
        <v>0</v>
      </c>
      <c r="AU2026" s="1">
        <f t="shared" si="381"/>
        <v>0</v>
      </c>
      <c r="AV2026" s="1">
        <f t="shared" si="382"/>
        <v>0</v>
      </c>
      <c r="AW2026" s="1">
        <f t="shared" si="383"/>
        <v>0</v>
      </c>
      <c r="AX2026" s="1">
        <f t="shared" si="384"/>
        <v>0</v>
      </c>
    </row>
    <row r="2027" spans="1:50" s="1" customFormat="1" ht="24.95" customHeight="1" outlineLevel="3" x14ac:dyDescent="0.2">
      <c r="A2027" s="11"/>
      <c r="B2027" s="12">
        <v>440</v>
      </c>
      <c r="C2027" s="12">
        <v>540</v>
      </c>
      <c r="D2027" s="12">
        <v>23509</v>
      </c>
      <c r="E2027" s="13" t="s">
        <v>6126</v>
      </c>
      <c r="F2027" s="13" t="s">
        <v>6611</v>
      </c>
      <c r="G2027" s="13" t="s">
        <v>163</v>
      </c>
      <c r="H2027" s="13" t="s">
        <v>164</v>
      </c>
      <c r="I2027" s="12">
        <v>2024</v>
      </c>
      <c r="J2027" s="13" t="s">
        <v>6612</v>
      </c>
      <c r="K2027" s="12">
        <v>9785961473742</v>
      </c>
      <c r="L2027" s="13" t="s">
        <v>6613</v>
      </c>
      <c r="M2027" s="12">
        <v>12</v>
      </c>
      <c r="N2027" s="14">
        <v>0.14000000000000001</v>
      </c>
      <c r="O2027" s="12">
        <v>180</v>
      </c>
      <c r="P2027" s="12">
        <v>180</v>
      </c>
      <c r="Q2027" s="12">
        <v>20</v>
      </c>
      <c r="R2027" s="13" t="s">
        <v>167</v>
      </c>
      <c r="S2027" s="13" t="s">
        <v>6588</v>
      </c>
      <c r="T2027" s="15">
        <v>2000</v>
      </c>
      <c r="U2027" s="13" t="s">
        <v>44</v>
      </c>
      <c r="V2027" s="13" t="s">
        <v>64</v>
      </c>
      <c r="W2027" s="12">
        <v>10</v>
      </c>
      <c r="X2027" s="33" t="str">
        <f>HYPERLINK("https://www.alpinabook.ru/catalog/book-yakob-i-mokrye-shtanishki-knigi-s-okoshkami","ссылка на книгу")</f>
        <v>ссылка на книгу</v>
      </c>
      <c r="Y2027" s="34" t="str">
        <f>HYPERLINK("https://api-enni.alpina.ru/FileCertificateProject/500","https://api-enni.alpina.ru/FileCertificateProject/500")</f>
        <v>https://api-enni.alpina.ru/FileCertificateProject/500</v>
      </c>
      <c r="Z2027" s="13"/>
      <c r="AT2027" s="1">
        <f t="shared" si="380"/>
        <v>0</v>
      </c>
      <c r="AU2027" s="1">
        <f t="shared" si="381"/>
        <v>0</v>
      </c>
      <c r="AV2027" s="1">
        <f t="shared" si="382"/>
        <v>0</v>
      </c>
      <c r="AW2027" s="1">
        <f t="shared" si="383"/>
        <v>0</v>
      </c>
      <c r="AX2027" s="1">
        <f t="shared" si="384"/>
        <v>0</v>
      </c>
    </row>
    <row r="2028" spans="1:50" s="1" customFormat="1" ht="24.95" customHeight="1" outlineLevel="3" x14ac:dyDescent="0.2">
      <c r="A2028" s="11"/>
      <c r="B2028" s="12">
        <v>340</v>
      </c>
      <c r="C2028" s="12">
        <v>540</v>
      </c>
      <c r="D2028" s="12">
        <v>27259</v>
      </c>
      <c r="E2028" s="13" t="s">
        <v>6126</v>
      </c>
      <c r="F2028" s="13" t="s">
        <v>6614</v>
      </c>
      <c r="G2028" s="13" t="s">
        <v>163</v>
      </c>
      <c r="H2028" s="13" t="s">
        <v>164</v>
      </c>
      <c r="I2028" s="12">
        <v>2023</v>
      </c>
      <c r="J2028" s="13" t="s">
        <v>6615</v>
      </c>
      <c r="K2028" s="12">
        <v>9785961484458</v>
      </c>
      <c r="L2028" s="13" t="s">
        <v>6616</v>
      </c>
      <c r="M2028" s="12">
        <v>12</v>
      </c>
      <c r="N2028" s="14">
        <v>0.15</v>
      </c>
      <c r="O2028" s="12">
        <v>180</v>
      </c>
      <c r="P2028" s="12">
        <v>180</v>
      </c>
      <c r="Q2028" s="12">
        <v>35</v>
      </c>
      <c r="R2028" s="13" t="s">
        <v>167</v>
      </c>
      <c r="S2028" s="13" t="s">
        <v>6588</v>
      </c>
      <c r="T2028" s="15">
        <v>2000</v>
      </c>
      <c r="U2028" s="13" t="s">
        <v>44</v>
      </c>
      <c r="V2028" s="13" t="s">
        <v>64</v>
      </c>
      <c r="W2028" s="12">
        <v>10</v>
      </c>
      <c r="X2028" s="33" t="str">
        <f>HYPERLINK("https://www.alpinabook.ru/catalog/book-yakob-igraet-v-futbol","ссылка на книгу")</f>
        <v>ссылка на книгу</v>
      </c>
      <c r="Y2028" s="34" t="str">
        <f>HYPERLINK("https://api-enni.alpina.ru/FileCertificateProject/542","https://api-enni.alpina.ru/FileCertificateProject/542")</f>
        <v>https://api-enni.alpina.ru/FileCertificateProject/542</v>
      </c>
      <c r="Z2028" s="13"/>
      <c r="AT2028" s="1">
        <f t="shared" si="380"/>
        <v>0</v>
      </c>
      <c r="AU2028" s="1">
        <f t="shared" si="381"/>
        <v>0</v>
      </c>
      <c r="AV2028" s="1">
        <f t="shared" si="382"/>
        <v>0</v>
      </c>
      <c r="AW2028" s="1">
        <f t="shared" si="383"/>
        <v>0</v>
      </c>
      <c r="AX2028" s="1">
        <f t="shared" si="384"/>
        <v>0</v>
      </c>
    </row>
    <row r="2029" spans="1:50" s="1" customFormat="1" ht="21.95" customHeight="1" outlineLevel="3" x14ac:dyDescent="0.2">
      <c r="A2029" s="11"/>
      <c r="B2029" s="12">
        <v>390</v>
      </c>
      <c r="C2029" s="12">
        <v>540</v>
      </c>
      <c r="D2029" s="12">
        <v>29434</v>
      </c>
      <c r="E2029" s="13" t="s">
        <v>6584</v>
      </c>
      <c r="F2029" s="13" t="s">
        <v>6617</v>
      </c>
      <c r="G2029" s="13" t="s">
        <v>163</v>
      </c>
      <c r="H2029" s="13" t="s">
        <v>164</v>
      </c>
      <c r="I2029" s="12">
        <v>2024</v>
      </c>
      <c r="J2029" s="13" t="s">
        <v>6618</v>
      </c>
      <c r="K2029" s="12">
        <v>9785961489521</v>
      </c>
      <c r="L2029" s="13" t="s">
        <v>6619</v>
      </c>
      <c r="M2029" s="12">
        <v>12</v>
      </c>
      <c r="N2029" s="14">
        <v>0.14000000000000001</v>
      </c>
      <c r="O2029" s="12">
        <v>180</v>
      </c>
      <c r="P2029" s="12">
        <v>180</v>
      </c>
      <c r="Q2029" s="12">
        <v>20</v>
      </c>
      <c r="R2029" s="13" t="s">
        <v>167</v>
      </c>
      <c r="S2029" s="13" t="s">
        <v>6588</v>
      </c>
      <c r="T2029" s="15">
        <v>2000</v>
      </c>
      <c r="U2029" s="13" t="s">
        <v>44</v>
      </c>
      <c r="V2029" s="13" t="s">
        <v>64</v>
      </c>
      <c r="W2029" s="12">
        <v>10</v>
      </c>
      <c r="X2029" s="33" t="str">
        <f>HYPERLINK("https://www.alpinabook.ru/catalog/book-yakob-na-detskoy-ploshchadke","ссылка на книгу")</f>
        <v>ссылка на книгу</v>
      </c>
      <c r="Y2029" s="34" t="str">
        <f>HYPERLINK("","")</f>
        <v/>
      </c>
      <c r="Z2029" s="13"/>
      <c r="AT2029" s="1">
        <f t="shared" si="380"/>
        <v>0</v>
      </c>
      <c r="AU2029" s="1">
        <f t="shared" si="381"/>
        <v>0</v>
      </c>
      <c r="AV2029" s="1">
        <f t="shared" si="382"/>
        <v>0</v>
      </c>
      <c r="AW2029" s="1">
        <f t="shared" si="383"/>
        <v>0</v>
      </c>
      <c r="AX2029" s="1">
        <f t="shared" si="384"/>
        <v>0</v>
      </c>
    </row>
    <row r="2030" spans="1:50" s="1" customFormat="1" ht="24.95" customHeight="1" outlineLevel="3" x14ac:dyDescent="0.2">
      <c r="A2030" s="11"/>
      <c r="B2030" s="12">
        <v>440</v>
      </c>
      <c r="C2030" s="12">
        <v>540</v>
      </c>
      <c r="D2030" s="12">
        <v>22293</v>
      </c>
      <c r="E2030" s="13" t="s">
        <v>6126</v>
      </c>
      <c r="F2030" s="13" t="s">
        <v>6620</v>
      </c>
      <c r="G2030" s="13" t="s">
        <v>163</v>
      </c>
      <c r="H2030" s="13" t="s">
        <v>164</v>
      </c>
      <c r="I2030" s="12">
        <v>2024</v>
      </c>
      <c r="J2030" s="13" t="s">
        <v>6621</v>
      </c>
      <c r="K2030" s="12">
        <v>9785961447071</v>
      </c>
      <c r="L2030" s="13" t="s">
        <v>6622</v>
      </c>
      <c r="M2030" s="12">
        <v>12</v>
      </c>
      <c r="N2030" s="14">
        <v>0.14000000000000001</v>
      </c>
      <c r="O2030" s="12">
        <v>180</v>
      </c>
      <c r="P2030" s="12">
        <v>180</v>
      </c>
      <c r="Q2030" s="12">
        <v>20</v>
      </c>
      <c r="R2030" s="13" t="s">
        <v>167</v>
      </c>
      <c r="S2030" s="13" t="s">
        <v>6588</v>
      </c>
      <c r="T2030" s="15">
        <v>2000</v>
      </c>
      <c r="U2030" s="13" t="s">
        <v>44</v>
      </c>
      <c r="V2030" s="13" t="s">
        <v>64</v>
      </c>
      <c r="W2030" s="12">
        <v>10</v>
      </c>
      <c r="X2030" s="33" t="str">
        <f>HYPERLINK("https://www.alpinabook.ru/catalog/book-yakob-ne-khochet-probovat-novoe","ссылка на книгу")</f>
        <v>ссылка на книгу</v>
      </c>
      <c r="Y2030" s="34" t="str">
        <f>HYPERLINK("https://api-enni.alpina.ru/FileCertificateProject/651","https://api-enni.alpina.ru/FileCertificateProject/651")</f>
        <v>https://api-enni.alpina.ru/FileCertificateProject/651</v>
      </c>
      <c r="Z2030" s="13"/>
      <c r="AT2030" s="1">
        <f t="shared" si="380"/>
        <v>0</v>
      </c>
      <c r="AU2030" s="1">
        <f t="shared" si="381"/>
        <v>0</v>
      </c>
      <c r="AV2030" s="1">
        <f t="shared" si="382"/>
        <v>0</v>
      </c>
      <c r="AW2030" s="1">
        <f t="shared" si="383"/>
        <v>0</v>
      </c>
      <c r="AX2030" s="1">
        <f t="shared" si="384"/>
        <v>0</v>
      </c>
    </row>
    <row r="2031" spans="1:50" s="1" customFormat="1" ht="24.95" customHeight="1" outlineLevel="3" x14ac:dyDescent="0.2">
      <c r="A2031" s="11"/>
      <c r="B2031" s="12">
        <v>340</v>
      </c>
      <c r="C2031" s="12">
        <v>540</v>
      </c>
      <c r="D2031" s="12">
        <v>23647</v>
      </c>
      <c r="E2031" s="13" t="s">
        <v>6126</v>
      </c>
      <c r="F2031" s="13" t="s">
        <v>6623</v>
      </c>
      <c r="G2031" s="13" t="s">
        <v>163</v>
      </c>
      <c r="H2031" s="13" t="s">
        <v>164</v>
      </c>
      <c r="I2031" s="12">
        <v>2022</v>
      </c>
      <c r="J2031" s="13" t="s">
        <v>6624</v>
      </c>
      <c r="K2031" s="12">
        <v>9785961480597</v>
      </c>
      <c r="L2031" s="13" t="s">
        <v>6625</v>
      </c>
      <c r="M2031" s="12">
        <v>12</v>
      </c>
      <c r="N2031" s="14">
        <v>0.15</v>
      </c>
      <c r="O2031" s="12">
        <v>180</v>
      </c>
      <c r="P2031" s="12">
        <v>180</v>
      </c>
      <c r="Q2031" s="12">
        <v>30</v>
      </c>
      <c r="R2031" s="13" t="s">
        <v>167</v>
      </c>
      <c r="S2031" s="13" t="s">
        <v>6588</v>
      </c>
      <c r="T2031" s="15">
        <v>3000</v>
      </c>
      <c r="U2031" s="13" t="s">
        <v>44</v>
      </c>
      <c r="V2031" s="13" t="s">
        <v>64</v>
      </c>
      <c r="W2031" s="12">
        <v>10</v>
      </c>
      <c r="X2031" s="33" t="str">
        <f>HYPERLINK("https://www.alpinabook.ru/catalog/book-yakob-nochuet-u-babushki-s-dedushkoy","ссылка на книгу")</f>
        <v>ссылка на книгу</v>
      </c>
      <c r="Y2031" s="34" t="str">
        <f>HYPERLINK("https://api-enni.alpina.ru/FileCertificateProject/575","https://api-enni.alpina.ru/FileCertificateProject/575")</f>
        <v>https://api-enni.alpina.ru/FileCertificateProject/575</v>
      </c>
      <c r="Z2031" s="13"/>
      <c r="AT2031" s="1">
        <f t="shared" si="380"/>
        <v>0</v>
      </c>
      <c r="AU2031" s="1">
        <f t="shared" si="381"/>
        <v>0</v>
      </c>
      <c r="AV2031" s="1">
        <f t="shared" si="382"/>
        <v>0</v>
      </c>
      <c r="AW2031" s="1">
        <f t="shared" si="383"/>
        <v>0</v>
      </c>
      <c r="AX2031" s="1">
        <f t="shared" si="384"/>
        <v>0</v>
      </c>
    </row>
    <row r="2032" spans="1:50" s="1" customFormat="1" ht="24.95" customHeight="1" outlineLevel="3" x14ac:dyDescent="0.2">
      <c r="A2032" s="11"/>
      <c r="B2032" s="12">
        <v>420</v>
      </c>
      <c r="C2032" s="12">
        <v>540</v>
      </c>
      <c r="D2032" s="12">
        <v>28670</v>
      </c>
      <c r="E2032" s="13" t="s">
        <v>6126</v>
      </c>
      <c r="F2032" s="13" t="s">
        <v>6626</v>
      </c>
      <c r="G2032" s="13" t="s">
        <v>163</v>
      </c>
      <c r="H2032" s="13" t="s">
        <v>164</v>
      </c>
      <c r="I2032" s="12">
        <v>2024</v>
      </c>
      <c r="J2032" s="13" t="s">
        <v>6627</v>
      </c>
      <c r="K2032" s="12">
        <v>9785961489637</v>
      </c>
      <c r="L2032" s="13" t="s">
        <v>6628</v>
      </c>
      <c r="M2032" s="12">
        <v>18</v>
      </c>
      <c r="N2032" s="14">
        <v>0.21</v>
      </c>
      <c r="O2032" s="12">
        <v>180</v>
      </c>
      <c r="P2032" s="12">
        <v>180</v>
      </c>
      <c r="Q2032" s="12">
        <v>24</v>
      </c>
      <c r="R2032" s="13" t="s">
        <v>167</v>
      </c>
      <c r="S2032" s="13" t="s">
        <v>6588</v>
      </c>
      <c r="T2032" s="15">
        <v>2000</v>
      </c>
      <c r="U2032" s="13" t="s">
        <v>44</v>
      </c>
      <c r="V2032" s="13" t="s">
        <v>64</v>
      </c>
      <c r="W2032" s="12">
        <v>10</v>
      </c>
      <c r="X2032" s="33" t="str">
        <f>HYPERLINK("https://www.alpinabook.ru/catalog/book-yakob-poranilsya","ссылка на книгу")</f>
        <v>ссылка на книгу</v>
      </c>
      <c r="Y2032" s="34" t="str">
        <f>HYPERLINK("https://api-enni.alpina.ru/FileCertificateProject/472","https://api-enni.alpina.ru/FileCertificateProject/472")</f>
        <v>https://api-enni.alpina.ru/FileCertificateProject/472</v>
      </c>
      <c r="Z2032" s="13"/>
      <c r="AT2032" s="1">
        <f t="shared" si="380"/>
        <v>0</v>
      </c>
      <c r="AU2032" s="1">
        <f t="shared" si="381"/>
        <v>0</v>
      </c>
      <c r="AV2032" s="1">
        <f t="shared" si="382"/>
        <v>0</v>
      </c>
      <c r="AW2032" s="1">
        <f t="shared" si="383"/>
        <v>0</v>
      </c>
      <c r="AX2032" s="1">
        <f t="shared" si="384"/>
        <v>0</v>
      </c>
    </row>
    <row r="2033" spans="1:50" s="1" customFormat="1" ht="24.95" customHeight="1" outlineLevel="3" x14ac:dyDescent="0.2">
      <c r="A2033" s="11"/>
      <c r="B2033" s="12">
        <v>340</v>
      </c>
      <c r="C2033" s="12">
        <v>540</v>
      </c>
      <c r="D2033" s="12">
        <v>27258</v>
      </c>
      <c r="E2033" s="13" t="s">
        <v>6126</v>
      </c>
      <c r="F2033" s="13" t="s">
        <v>6629</v>
      </c>
      <c r="G2033" s="13" t="s">
        <v>163</v>
      </c>
      <c r="H2033" s="13" t="s">
        <v>164</v>
      </c>
      <c r="I2033" s="12">
        <v>2023</v>
      </c>
      <c r="J2033" s="13" t="s">
        <v>6630</v>
      </c>
      <c r="K2033" s="12">
        <v>9785961484441</v>
      </c>
      <c r="L2033" s="13" t="s">
        <v>6631</v>
      </c>
      <c r="M2033" s="12">
        <v>12</v>
      </c>
      <c r="N2033" s="14">
        <v>0.15</v>
      </c>
      <c r="O2033" s="12">
        <v>180</v>
      </c>
      <c r="P2033" s="12">
        <v>180</v>
      </c>
      <c r="Q2033" s="12">
        <v>35</v>
      </c>
      <c r="R2033" s="13" t="s">
        <v>167</v>
      </c>
      <c r="S2033" s="13" t="s">
        <v>6588</v>
      </c>
      <c r="T2033" s="15">
        <v>2000</v>
      </c>
      <c r="U2033" s="13" t="s">
        <v>44</v>
      </c>
      <c r="V2033" s="13" t="s">
        <v>64</v>
      </c>
      <c r="W2033" s="12">
        <v>10</v>
      </c>
      <c r="X2033" s="33" t="str">
        <f>HYPERLINK("https://www.alpinabook.ru/catalog/book-yakob-puteshestvuet-na-poezde","ссылка на книгу")</f>
        <v>ссылка на книгу</v>
      </c>
      <c r="Y2033" s="34" t="str">
        <f>HYPERLINK("https://api-enni.alpina.ru/FileCertificateProject/541","https://api-enni.alpina.ru/FileCertificateProject/541")</f>
        <v>https://api-enni.alpina.ru/FileCertificateProject/541</v>
      </c>
      <c r="Z2033" s="13"/>
      <c r="AT2033" s="1">
        <f t="shared" si="380"/>
        <v>0</v>
      </c>
      <c r="AU2033" s="1">
        <f t="shared" si="381"/>
        <v>0</v>
      </c>
      <c r="AV2033" s="1">
        <f t="shared" si="382"/>
        <v>0</v>
      </c>
      <c r="AW2033" s="1">
        <f t="shared" si="383"/>
        <v>0</v>
      </c>
      <c r="AX2033" s="1">
        <f t="shared" si="384"/>
        <v>0</v>
      </c>
    </row>
    <row r="2034" spans="1:50" s="1" customFormat="1" ht="24.95" customHeight="1" outlineLevel="3" x14ac:dyDescent="0.2">
      <c r="A2034" s="11"/>
      <c r="B2034" s="12">
        <v>390</v>
      </c>
      <c r="C2034" s="12">
        <v>540</v>
      </c>
      <c r="D2034" s="12">
        <v>22291</v>
      </c>
      <c r="E2034" s="13" t="s">
        <v>6126</v>
      </c>
      <c r="F2034" s="13" t="s">
        <v>6632</v>
      </c>
      <c r="G2034" s="13" t="s">
        <v>163</v>
      </c>
      <c r="H2034" s="13" t="s">
        <v>164</v>
      </c>
      <c r="I2034" s="12">
        <v>2023</v>
      </c>
      <c r="J2034" s="13" t="s">
        <v>6633</v>
      </c>
      <c r="K2034" s="12">
        <v>9785961446517</v>
      </c>
      <c r="L2034" s="13" t="s">
        <v>6634</v>
      </c>
      <c r="M2034" s="12">
        <v>12</v>
      </c>
      <c r="N2034" s="14">
        <v>0.14000000000000001</v>
      </c>
      <c r="O2034" s="12">
        <v>180</v>
      </c>
      <c r="P2034" s="12">
        <v>180</v>
      </c>
      <c r="Q2034" s="12">
        <v>50</v>
      </c>
      <c r="R2034" s="13" t="s">
        <v>167</v>
      </c>
      <c r="S2034" s="13" t="s">
        <v>6588</v>
      </c>
      <c r="T2034" s="15">
        <v>3000</v>
      </c>
      <c r="U2034" s="13" t="s">
        <v>44</v>
      </c>
      <c r="V2034" s="13" t="s">
        <v>64</v>
      </c>
      <c r="W2034" s="12">
        <v>10</v>
      </c>
      <c r="X2034" s="33" t="str">
        <f>HYPERLINK("https://www.alpinabook.ru/catalog/book-yakob-ssoritsya-s-konni","ссылка на книгу")</f>
        <v>ссылка на книгу</v>
      </c>
      <c r="Y2034" s="34" t="str">
        <f>HYPERLINK("https://api-enni.alpina.ru/FileCertificateProject/423","https://api-enni.alpina.ru/FileCertificateProject/423")</f>
        <v>https://api-enni.alpina.ru/FileCertificateProject/423</v>
      </c>
      <c r="Z2034" s="13"/>
      <c r="AT2034" s="1">
        <f t="shared" si="380"/>
        <v>0</v>
      </c>
      <c r="AU2034" s="1">
        <f t="shared" si="381"/>
        <v>0</v>
      </c>
      <c r="AV2034" s="1">
        <f t="shared" si="382"/>
        <v>0</v>
      </c>
      <c r="AW2034" s="1">
        <f t="shared" si="383"/>
        <v>0</v>
      </c>
      <c r="AX2034" s="1">
        <f t="shared" si="384"/>
        <v>0</v>
      </c>
    </row>
    <row r="2035" spans="1:50" s="1" customFormat="1" ht="24.95" customHeight="1" outlineLevel="3" x14ac:dyDescent="0.2">
      <c r="A2035" s="11"/>
      <c r="B2035" s="12">
        <v>440</v>
      </c>
      <c r="C2035" s="12">
        <v>540</v>
      </c>
      <c r="D2035" s="12">
        <v>27260</v>
      </c>
      <c r="E2035" s="13" t="s">
        <v>6126</v>
      </c>
      <c r="F2035" s="13" t="s">
        <v>6635</v>
      </c>
      <c r="G2035" s="13" t="s">
        <v>163</v>
      </c>
      <c r="H2035" s="13" t="s">
        <v>164</v>
      </c>
      <c r="I2035" s="12">
        <v>2024</v>
      </c>
      <c r="J2035" s="13" t="s">
        <v>6636</v>
      </c>
      <c r="K2035" s="12">
        <v>9785961484465</v>
      </c>
      <c r="L2035" s="13" t="s">
        <v>6637</v>
      </c>
      <c r="M2035" s="12">
        <v>12</v>
      </c>
      <c r="N2035" s="14">
        <v>0.14000000000000001</v>
      </c>
      <c r="O2035" s="12">
        <v>180</v>
      </c>
      <c r="P2035" s="12">
        <v>180</v>
      </c>
      <c r="Q2035" s="12">
        <v>20</v>
      </c>
      <c r="R2035" s="13" t="s">
        <v>167</v>
      </c>
      <c r="S2035" s="13" t="s">
        <v>6588</v>
      </c>
      <c r="T2035" s="15">
        <v>2000</v>
      </c>
      <c r="U2035" s="13" t="s">
        <v>44</v>
      </c>
      <c r="V2035" s="13" t="s">
        <v>64</v>
      </c>
      <c r="W2035" s="12">
        <v>10</v>
      </c>
      <c r="X2035" s="33" t="str">
        <f>HYPERLINK("https://www.alpinabook.ru/catalog/book-yakob-uchit-pdd","ссылка на книгу")</f>
        <v>ссылка на книгу</v>
      </c>
      <c r="Y2035" s="34" t="str">
        <f>HYPERLINK("https://api-enni.alpina.ru/FileCertificateProject/753","https://api-enni.alpina.ru/FileCertificateProject/753")</f>
        <v>https://api-enni.alpina.ru/FileCertificateProject/753</v>
      </c>
      <c r="Z2035" s="13"/>
      <c r="AT2035" s="1">
        <f t="shared" si="380"/>
        <v>0</v>
      </c>
      <c r="AU2035" s="1">
        <f t="shared" si="381"/>
        <v>0</v>
      </c>
      <c r="AV2035" s="1">
        <f t="shared" si="382"/>
        <v>0</v>
      </c>
      <c r="AW2035" s="1">
        <f t="shared" si="383"/>
        <v>0</v>
      </c>
      <c r="AX2035" s="1">
        <f t="shared" si="384"/>
        <v>0</v>
      </c>
    </row>
    <row r="2036" spans="1:50" s="1" customFormat="1" ht="24.95" customHeight="1" outlineLevel="3" x14ac:dyDescent="0.2">
      <c r="A2036" s="11"/>
      <c r="B2036" s="12">
        <v>750</v>
      </c>
      <c r="C2036" s="15">
        <v>1090</v>
      </c>
      <c r="D2036" s="12">
        <v>31864</v>
      </c>
      <c r="E2036" s="13" t="s">
        <v>6126</v>
      </c>
      <c r="F2036" s="13" t="s">
        <v>6638</v>
      </c>
      <c r="G2036" s="13" t="s">
        <v>163</v>
      </c>
      <c r="H2036" s="13" t="s">
        <v>164</v>
      </c>
      <c r="I2036" s="12">
        <v>2024</v>
      </c>
      <c r="J2036" s="13" t="s">
        <v>6639</v>
      </c>
      <c r="K2036" s="12">
        <v>9785006300842</v>
      </c>
      <c r="L2036" s="13" t="s">
        <v>6640</v>
      </c>
      <c r="M2036" s="12">
        <v>144</v>
      </c>
      <c r="N2036" s="14">
        <v>0.62</v>
      </c>
      <c r="O2036" s="12">
        <v>210</v>
      </c>
      <c r="P2036" s="12">
        <v>270</v>
      </c>
      <c r="Q2036" s="12">
        <v>10</v>
      </c>
      <c r="R2036" s="13" t="s">
        <v>300</v>
      </c>
      <c r="S2036" s="13" t="s">
        <v>6588</v>
      </c>
      <c r="T2036" s="15">
        <v>5000</v>
      </c>
      <c r="U2036" s="13" t="s">
        <v>52</v>
      </c>
      <c r="V2036" s="13" t="s">
        <v>64</v>
      </c>
      <c r="W2036" s="12">
        <v>10</v>
      </c>
      <c r="X2036" s="33" t="str">
        <f>HYPERLINK("https://www.alpinabook.ru/catalog/book-yakob-uchitsya-obshchatsya","ссылка на книгу")</f>
        <v>ссылка на книгу</v>
      </c>
      <c r="Y2036" s="34" t="str">
        <f>HYPERLINK("https://api-enni.alpina.ru/FileCertificateProject/708","https://api-enni.alpina.ru/FileCertificateProject/708")</f>
        <v>https://api-enni.alpina.ru/FileCertificateProject/708</v>
      </c>
      <c r="Z2036" s="13"/>
      <c r="AT2036" s="1">
        <f t="shared" si="380"/>
        <v>0</v>
      </c>
      <c r="AU2036" s="1">
        <f t="shared" si="381"/>
        <v>0</v>
      </c>
      <c r="AV2036" s="1">
        <f t="shared" si="382"/>
        <v>0</v>
      </c>
      <c r="AW2036" s="1">
        <f t="shared" si="383"/>
        <v>0</v>
      </c>
      <c r="AX2036" s="1">
        <f t="shared" si="384"/>
        <v>0</v>
      </c>
    </row>
    <row r="2037" spans="1:50" s="1" customFormat="1" ht="24.95" customHeight="1" outlineLevel="3" x14ac:dyDescent="0.2">
      <c r="A2037" s="11"/>
      <c r="B2037" s="12">
        <v>340</v>
      </c>
      <c r="C2037" s="12">
        <v>540</v>
      </c>
      <c r="D2037" s="12">
        <v>27261</v>
      </c>
      <c r="E2037" s="13" t="s">
        <v>6126</v>
      </c>
      <c r="F2037" s="13" t="s">
        <v>6641</v>
      </c>
      <c r="G2037" s="13" t="s">
        <v>163</v>
      </c>
      <c r="H2037" s="13" t="s">
        <v>164</v>
      </c>
      <c r="I2037" s="12">
        <v>2023</v>
      </c>
      <c r="J2037" s="13" t="s">
        <v>6642</v>
      </c>
      <c r="K2037" s="12">
        <v>9785961484472</v>
      </c>
      <c r="L2037" s="13" t="s">
        <v>6643</v>
      </c>
      <c r="M2037" s="12">
        <v>12</v>
      </c>
      <c r="N2037" s="14">
        <v>0.15</v>
      </c>
      <c r="O2037" s="12">
        <v>180</v>
      </c>
      <c r="P2037" s="12">
        <v>180</v>
      </c>
      <c r="Q2037" s="12">
        <v>35</v>
      </c>
      <c r="R2037" s="13" t="s">
        <v>167</v>
      </c>
      <c r="S2037" s="13" t="s">
        <v>6588</v>
      </c>
      <c r="T2037" s="15">
        <v>2000</v>
      </c>
      <c r="U2037" s="13" t="s">
        <v>44</v>
      </c>
      <c r="V2037" s="13" t="s">
        <v>64</v>
      </c>
      <c r="W2037" s="12">
        <v>10</v>
      </c>
      <c r="X2037" s="33" t="str">
        <f>HYPERLINK("https://www.alpinabook.ru/catalog/book-yakob-uchitsya-plavat","ссылка на книгу")</f>
        <v>ссылка на книгу</v>
      </c>
      <c r="Y2037" s="34" t="str">
        <f>HYPERLINK("https://api-enni.alpina.ru/FileCertificateProject/540","https://api-enni.alpina.ru/FileCertificateProject/540")</f>
        <v>https://api-enni.alpina.ru/FileCertificateProject/540</v>
      </c>
      <c r="Z2037" s="13"/>
      <c r="AT2037" s="1">
        <f t="shared" si="380"/>
        <v>0</v>
      </c>
      <c r="AU2037" s="1">
        <f t="shared" si="381"/>
        <v>0</v>
      </c>
      <c r="AV2037" s="1">
        <f t="shared" si="382"/>
        <v>0</v>
      </c>
      <c r="AW2037" s="1">
        <f t="shared" si="383"/>
        <v>0</v>
      </c>
      <c r="AX2037" s="1">
        <f t="shared" si="384"/>
        <v>0</v>
      </c>
    </row>
    <row r="2038" spans="1:50" s="1" customFormat="1" ht="24.95" customHeight="1" outlineLevel="3" x14ac:dyDescent="0.2">
      <c r="A2038" s="11"/>
      <c r="B2038" s="12">
        <v>650</v>
      </c>
      <c r="C2038" s="12">
        <v>940</v>
      </c>
      <c r="D2038" s="12">
        <v>28667</v>
      </c>
      <c r="E2038" s="13" t="s">
        <v>6644</v>
      </c>
      <c r="F2038" s="13" t="s">
        <v>6645</v>
      </c>
      <c r="G2038" s="13" t="s">
        <v>163</v>
      </c>
      <c r="H2038" s="13" t="s">
        <v>164</v>
      </c>
      <c r="I2038" s="12">
        <v>2024</v>
      </c>
      <c r="J2038" s="13" t="s">
        <v>6646</v>
      </c>
      <c r="K2038" s="12">
        <v>9785961489606</v>
      </c>
      <c r="L2038" s="13" t="s">
        <v>6647</v>
      </c>
      <c r="M2038" s="12">
        <v>144</v>
      </c>
      <c r="N2038" s="14">
        <v>0.62</v>
      </c>
      <c r="O2038" s="12">
        <v>210</v>
      </c>
      <c r="P2038" s="12">
        <v>270</v>
      </c>
      <c r="Q2038" s="12">
        <v>10</v>
      </c>
      <c r="R2038" s="13" t="s">
        <v>167</v>
      </c>
      <c r="S2038" s="13" t="s">
        <v>6588</v>
      </c>
      <c r="T2038" s="15">
        <v>5000</v>
      </c>
      <c r="U2038" s="13" t="s">
        <v>52</v>
      </c>
      <c r="V2038" s="13" t="s">
        <v>64</v>
      </c>
      <c r="W2038" s="12">
        <v>10</v>
      </c>
      <c r="X2038" s="33" t="str">
        <f>HYPERLINK("https://www.alpinabook.ru/catalog/book-yakob-uchitsya-samostoyatelnosti-10-istoriy","ссылка на книгу")</f>
        <v>ссылка на книгу</v>
      </c>
      <c r="Y2038" s="34" t="str">
        <f>HYPERLINK("https://api-enni.alpina.ru/FileCertificateProject/529","https://api-enni.alpina.ru/FileCertificateProject/529")</f>
        <v>https://api-enni.alpina.ru/FileCertificateProject/529</v>
      </c>
      <c r="Z2038" s="13"/>
      <c r="AT2038" s="1">
        <f t="shared" si="380"/>
        <v>0</v>
      </c>
      <c r="AU2038" s="1">
        <f t="shared" si="381"/>
        <v>0</v>
      </c>
      <c r="AV2038" s="1">
        <f t="shared" si="382"/>
        <v>0</v>
      </c>
      <c r="AW2038" s="1">
        <f t="shared" si="383"/>
        <v>0</v>
      </c>
      <c r="AX2038" s="1">
        <f t="shared" si="384"/>
        <v>0</v>
      </c>
    </row>
    <row r="2039" spans="1:50" s="1" customFormat="1" ht="24.95" customHeight="1" outlineLevel="3" x14ac:dyDescent="0.2">
      <c r="A2039" s="11"/>
      <c r="B2039" s="12">
        <v>750</v>
      </c>
      <c r="C2039" s="15">
        <v>1090</v>
      </c>
      <c r="D2039" s="12">
        <v>32322</v>
      </c>
      <c r="E2039" s="13" t="s">
        <v>6644</v>
      </c>
      <c r="F2039" s="13" t="s">
        <v>6645</v>
      </c>
      <c r="G2039" s="13" t="s">
        <v>163</v>
      </c>
      <c r="H2039" s="13" t="s">
        <v>164</v>
      </c>
      <c r="I2039" s="12">
        <v>2025</v>
      </c>
      <c r="J2039" s="13" t="s">
        <v>6648</v>
      </c>
      <c r="K2039" s="12">
        <v>9785006302020</v>
      </c>
      <c r="L2039" s="13" t="s">
        <v>6649</v>
      </c>
      <c r="M2039" s="12">
        <v>144</v>
      </c>
      <c r="N2039" s="14">
        <v>0.62</v>
      </c>
      <c r="O2039" s="12">
        <v>210</v>
      </c>
      <c r="P2039" s="12">
        <v>270</v>
      </c>
      <c r="Q2039" s="12">
        <v>10</v>
      </c>
      <c r="R2039" s="13" t="s">
        <v>167</v>
      </c>
      <c r="S2039" s="13" t="s">
        <v>6588</v>
      </c>
      <c r="T2039" s="15">
        <v>6000</v>
      </c>
      <c r="U2039" s="13" t="s">
        <v>52</v>
      </c>
      <c r="V2039" s="13" t="s">
        <v>64</v>
      </c>
      <c r="W2039" s="12">
        <v>10</v>
      </c>
      <c r="X2039" s="33" t="str">
        <f>HYPERLINK("https://www.alpinabook.ru/catalog/book-yakob-uchitsya-samostoyatelnosti-10-istoriy","ссылка на книгу")</f>
        <v>ссылка на книгу</v>
      </c>
      <c r="Y2039" s="34" t="str">
        <f>HYPERLINK("https://api-enni.alpina.ru/FileCertificateProject/529","https://api-enni.alpina.ru/FileCertificateProject/529")</f>
        <v>https://api-enni.alpina.ru/FileCertificateProject/529</v>
      </c>
      <c r="Z2039" s="13"/>
      <c r="AT2039" s="1">
        <f t="shared" si="380"/>
        <v>0</v>
      </c>
      <c r="AU2039" s="1">
        <f t="shared" si="381"/>
        <v>0</v>
      </c>
      <c r="AV2039" s="1">
        <f t="shared" si="382"/>
        <v>0</v>
      </c>
      <c r="AW2039" s="1">
        <f t="shared" si="383"/>
        <v>0</v>
      </c>
      <c r="AX2039" s="1">
        <f t="shared" si="384"/>
        <v>0</v>
      </c>
    </row>
    <row r="2040" spans="1:50" s="1" customFormat="1" ht="24.95" customHeight="1" outlineLevel="3" x14ac:dyDescent="0.2">
      <c r="A2040" s="11"/>
      <c r="B2040" s="12">
        <v>440</v>
      </c>
      <c r="C2040" s="12">
        <v>540</v>
      </c>
      <c r="D2040" s="12">
        <v>23651</v>
      </c>
      <c r="E2040" s="13" t="s">
        <v>6584</v>
      </c>
      <c r="F2040" s="13" t="s">
        <v>6650</v>
      </c>
      <c r="G2040" s="13" t="s">
        <v>163</v>
      </c>
      <c r="H2040" s="13" t="s">
        <v>164</v>
      </c>
      <c r="I2040" s="12">
        <v>2025</v>
      </c>
      <c r="J2040" s="13" t="s">
        <v>6651</v>
      </c>
      <c r="K2040" s="12">
        <v>9785961457247</v>
      </c>
      <c r="L2040" s="13" t="s">
        <v>6652</v>
      </c>
      <c r="M2040" s="12">
        <v>12</v>
      </c>
      <c r="N2040" s="14">
        <v>0.13</v>
      </c>
      <c r="O2040" s="12">
        <v>180</v>
      </c>
      <c r="P2040" s="12">
        <v>180</v>
      </c>
      <c r="Q2040" s="12">
        <v>20</v>
      </c>
      <c r="R2040" s="13" t="s">
        <v>167</v>
      </c>
      <c r="S2040" s="13" t="s">
        <v>6588</v>
      </c>
      <c r="T2040" s="15">
        <v>3000</v>
      </c>
      <c r="U2040" s="13" t="s">
        <v>44</v>
      </c>
      <c r="V2040" s="13" t="s">
        <v>64</v>
      </c>
      <c r="W2040" s="12">
        <v>10</v>
      </c>
      <c r="X2040" s="33" t="str">
        <f>HYPERLINK("https://www.alpinabook.ru/catalog/book-yakob-hochet-na-gorshok","ссылка на книгу")</f>
        <v>ссылка на книгу</v>
      </c>
      <c r="Y2040" s="34" t="str">
        <f>HYPERLINK("https://api-enni.alpina.ru/FileCertificateProject/582","https://api-enni.alpina.ru/FileCertificateProject/582")</f>
        <v>https://api-enni.alpina.ru/FileCertificateProject/582</v>
      </c>
      <c r="Z2040" s="13"/>
      <c r="AT2040" s="1">
        <f t="shared" si="380"/>
        <v>0</v>
      </c>
      <c r="AU2040" s="1">
        <f t="shared" si="381"/>
        <v>0</v>
      </c>
      <c r="AV2040" s="1">
        <f t="shared" si="382"/>
        <v>0</v>
      </c>
      <c r="AW2040" s="1">
        <f t="shared" si="383"/>
        <v>0</v>
      </c>
      <c r="AX2040" s="1">
        <f t="shared" si="384"/>
        <v>0</v>
      </c>
    </row>
    <row r="2041" spans="1:50" s="1" customFormat="1" ht="24.95" customHeight="1" outlineLevel="3" x14ac:dyDescent="0.2">
      <c r="A2041" s="11"/>
      <c r="B2041" s="12">
        <v>440</v>
      </c>
      <c r="C2041" s="12">
        <v>690</v>
      </c>
      <c r="D2041" s="12">
        <v>32425</v>
      </c>
      <c r="E2041" s="13" t="s">
        <v>6584</v>
      </c>
      <c r="F2041" s="13" t="s">
        <v>6653</v>
      </c>
      <c r="G2041" s="13" t="s">
        <v>163</v>
      </c>
      <c r="H2041" s="13" t="s">
        <v>164</v>
      </c>
      <c r="I2041" s="12">
        <v>2025</v>
      </c>
      <c r="J2041" s="13" t="s">
        <v>6654</v>
      </c>
      <c r="K2041" s="12">
        <v>9785006302211</v>
      </c>
      <c r="L2041" s="13" t="s">
        <v>6655</v>
      </c>
      <c r="M2041" s="12">
        <v>12</v>
      </c>
      <c r="N2041" s="14">
        <v>0.13</v>
      </c>
      <c r="O2041" s="12">
        <v>180</v>
      </c>
      <c r="P2041" s="12">
        <v>180</v>
      </c>
      <c r="Q2041" s="12">
        <v>20</v>
      </c>
      <c r="R2041" s="13" t="s">
        <v>167</v>
      </c>
      <c r="S2041" s="13" t="s">
        <v>6588</v>
      </c>
      <c r="T2041" s="15">
        <v>3000</v>
      </c>
      <c r="U2041" s="13" t="s">
        <v>44</v>
      </c>
      <c r="V2041" s="13" t="s">
        <v>64</v>
      </c>
      <c r="W2041" s="12">
        <v>10</v>
      </c>
      <c r="X2041" s="33" t="str">
        <f>HYPERLINK("https://www.alpinabook.ru/catalog/book-yakob-chistit-zuby","ссылка на книгу")</f>
        <v>ссылка на книгу</v>
      </c>
      <c r="Y2041" s="34" t="str">
        <f>HYPERLINK("https://api-enni.alpina.ru/FileCertificateProject/584","https://api-enni.alpina.ru/FileCertificateProject/584")</f>
        <v>https://api-enni.alpina.ru/FileCertificateProject/584</v>
      </c>
      <c r="Z2041" s="13"/>
      <c r="AT2041" s="1">
        <f t="shared" si="380"/>
        <v>0</v>
      </c>
      <c r="AU2041" s="1">
        <f t="shared" si="381"/>
        <v>0</v>
      </c>
      <c r="AV2041" s="1">
        <f t="shared" si="382"/>
        <v>0</v>
      </c>
      <c r="AW2041" s="1">
        <f t="shared" si="383"/>
        <v>0</v>
      </c>
      <c r="AX2041" s="1">
        <f t="shared" si="384"/>
        <v>0</v>
      </c>
    </row>
    <row r="2042" spans="1:50" s="1" customFormat="1" ht="24.95" customHeight="1" outlineLevel="3" x14ac:dyDescent="0.2">
      <c r="A2042" s="11"/>
      <c r="B2042" s="12">
        <v>340</v>
      </c>
      <c r="C2042" s="12">
        <v>540</v>
      </c>
      <c r="D2042" s="12">
        <v>23642</v>
      </c>
      <c r="E2042" s="13" t="s">
        <v>6126</v>
      </c>
      <c r="F2042" s="13" t="s">
        <v>6656</v>
      </c>
      <c r="G2042" s="13" t="s">
        <v>163</v>
      </c>
      <c r="H2042" s="13" t="s">
        <v>164</v>
      </c>
      <c r="I2042" s="12">
        <v>2022</v>
      </c>
      <c r="J2042" s="13" t="s">
        <v>6657</v>
      </c>
      <c r="K2042" s="12">
        <v>9785961480610</v>
      </c>
      <c r="L2042" s="13" t="s">
        <v>6658</v>
      </c>
      <c r="M2042" s="12">
        <v>12</v>
      </c>
      <c r="N2042" s="14">
        <v>0.15</v>
      </c>
      <c r="O2042" s="12">
        <v>180</v>
      </c>
      <c r="P2042" s="12">
        <v>180</v>
      </c>
      <c r="Q2042" s="12">
        <v>35</v>
      </c>
      <c r="R2042" s="13" t="s">
        <v>167</v>
      </c>
      <c r="S2042" s="13" t="s">
        <v>6588</v>
      </c>
      <c r="T2042" s="15">
        <v>2000</v>
      </c>
      <c r="U2042" s="13" t="s">
        <v>44</v>
      </c>
      <c r="V2042" s="13" t="s">
        <v>64</v>
      </c>
      <c r="W2042" s="12">
        <v>10</v>
      </c>
      <c r="X2042" s="33" t="str">
        <f>HYPERLINK("https://www.alpinabook.ru/catalog/book-yakob-pora-kupatsya","ссылка на книгу")</f>
        <v>ссылка на книгу</v>
      </c>
      <c r="Y2042" s="34" t="str">
        <f>HYPERLINK("https://api-enni.alpina.ru/FileCertificateProject/560","https://api-enni.alpina.ru/FileCertificateProject/560")</f>
        <v>https://api-enni.alpina.ru/FileCertificateProject/560</v>
      </c>
      <c r="Z2042" s="13"/>
      <c r="AT2042" s="1">
        <f t="shared" si="380"/>
        <v>0</v>
      </c>
      <c r="AU2042" s="1">
        <f t="shared" si="381"/>
        <v>0</v>
      </c>
      <c r="AV2042" s="1">
        <f t="shared" si="382"/>
        <v>0</v>
      </c>
      <c r="AW2042" s="1">
        <f t="shared" si="383"/>
        <v>0</v>
      </c>
      <c r="AX2042" s="1">
        <f t="shared" si="384"/>
        <v>0</v>
      </c>
    </row>
    <row r="2043" spans="1:50" s="1" customFormat="1" ht="24.95" customHeight="1" outlineLevel="3" x14ac:dyDescent="0.2">
      <c r="A2043" s="11"/>
      <c r="B2043" s="12">
        <v>440</v>
      </c>
      <c r="C2043" s="12">
        <v>540</v>
      </c>
      <c r="D2043" s="12">
        <v>23508</v>
      </c>
      <c r="E2043" s="13" t="s">
        <v>6584</v>
      </c>
      <c r="F2043" s="13" t="s">
        <v>6659</v>
      </c>
      <c r="G2043" s="13" t="s">
        <v>163</v>
      </c>
      <c r="H2043" s="13" t="s">
        <v>164</v>
      </c>
      <c r="I2043" s="12">
        <v>2025</v>
      </c>
      <c r="J2043" s="13" t="s">
        <v>6660</v>
      </c>
      <c r="K2043" s="12">
        <v>9785961473735</v>
      </c>
      <c r="L2043" s="13" t="s">
        <v>6661</v>
      </c>
      <c r="M2043" s="12">
        <v>12</v>
      </c>
      <c r="N2043" s="14">
        <v>0.14000000000000001</v>
      </c>
      <c r="O2043" s="12">
        <v>180</v>
      </c>
      <c r="P2043" s="12">
        <v>180</v>
      </c>
      <c r="Q2043" s="12">
        <v>20</v>
      </c>
      <c r="R2043" s="13" t="s">
        <v>167</v>
      </c>
      <c r="S2043" s="13" t="s">
        <v>6588</v>
      </c>
      <c r="T2043" s="15">
        <v>3000</v>
      </c>
      <c r="U2043" s="13" t="s">
        <v>44</v>
      </c>
      <c r="V2043" s="13" t="s">
        <v>64</v>
      </c>
      <c r="W2043" s="12">
        <v>10</v>
      </c>
      <c r="X2043" s="33" t="str">
        <f>HYPERLINK("https://www.alpinabook.ru/catalog/book-yakob-pora-spat","ссылка на книгу")</f>
        <v>ссылка на книгу</v>
      </c>
      <c r="Y2043" s="34" t="str">
        <f>HYPERLINK("https://api-enni.alpina.ru/FileCertificateProject/583","https://api-enni.alpina.ru/FileCertificateProject/583")</f>
        <v>https://api-enni.alpina.ru/FileCertificateProject/583</v>
      </c>
      <c r="Z2043" s="13"/>
      <c r="AT2043" s="1">
        <f t="shared" si="380"/>
        <v>0</v>
      </c>
      <c r="AU2043" s="1">
        <f t="shared" si="381"/>
        <v>0</v>
      </c>
      <c r="AV2043" s="1">
        <f t="shared" si="382"/>
        <v>0</v>
      </c>
      <c r="AW2043" s="1">
        <f t="shared" si="383"/>
        <v>0</v>
      </c>
      <c r="AX2043" s="1">
        <f t="shared" si="384"/>
        <v>0</v>
      </c>
    </row>
    <row r="2044" spans="1:50" s="1" customFormat="1" ht="24.95" customHeight="1" outlineLevel="3" x14ac:dyDescent="0.2">
      <c r="A2044" s="11"/>
      <c r="B2044" s="12">
        <v>390</v>
      </c>
      <c r="C2044" s="12">
        <v>540</v>
      </c>
      <c r="D2044" s="12">
        <v>22292</v>
      </c>
      <c r="E2044" s="13" t="s">
        <v>6584</v>
      </c>
      <c r="F2044" s="13" t="s">
        <v>6662</v>
      </c>
      <c r="G2044" s="13" t="s">
        <v>163</v>
      </c>
      <c r="H2044" s="13" t="s">
        <v>164</v>
      </c>
      <c r="I2044" s="12">
        <v>2021</v>
      </c>
      <c r="J2044" s="13" t="s">
        <v>6663</v>
      </c>
      <c r="K2044" s="12">
        <v>9785961446951</v>
      </c>
      <c r="L2044" s="13" t="s">
        <v>6664</v>
      </c>
      <c r="M2044" s="12">
        <v>12</v>
      </c>
      <c r="N2044" s="14">
        <v>0.14000000000000001</v>
      </c>
      <c r="O2044" s="12">
        <v>180</v>
      </c>
      <c r="P2044" s="12">
        <v>180</v>
      </c>
      <c r="Q2044" s="12">
        <v>40</v>
      </c>
      <c r="R2044" s="13" t="s">
        <v>167</v>
      </c>
      <c r="S2044" s="13" t="s">
        <v>6588</v>
      </c>
      <c r="T2044" s="15">
        <v>3000</v>
      </c>
      <c r="U2044" s="13" t="s">
        <v>44</v>
      </c>
      <c r="V2044" s="13" t="s">
        <v>64</v>
      </c>
      <c r="W2044" s="12">
        <v>10</v>
      </c>
      <c r="X2044" s="33" t="str">
        <f>HYPERLINK("https://www.alpinabook.ru/catalog/book-694941","ссылка на книгу")</f>
        <v>ссылка на книгу</v>
      </c>
      <c r="Y2044" s="34" t="str">
        <f>HYPERLINK("https://api-enni.alpina.ru/FileCertificateProject/661","https://api-enni.alpina.ru/FileCertificateProject/661")</f>
        <v>https://api-enni.alpina.ru/FileCertificateProject/661</v>
      </c>
      <c r="Z2044" s="13"/>
      <c r="AT2044" s="1">
        <f t="shared" si="380"/>
        <v>0</v>
      </c>
      <c r="AU2044" s="1">
        <f t="shared" si="381"/>
        <v>0</v>
      </c>
      <c r="AV2044" s="1">
        <f t="shared" si="382"/>
        <v>0</v>
      </c>
      <c r="AW2044" s="1">
        <f t="shared" si="383"/>
        <v>0</v>
      </c>
      <c r="AX2044" s="1">
        <f t="shared" si="384"/>
        <v>0</v>
      </c>
    </row>
    <row r="2045" spans="1:50" ht="11.1" customHeight="1" outlineLevel="2" x14ac:dyDescent="0.2">
      <c r="A2045" s="40" t="s">
        <v>6665</v>
      </c>
      <c r="B2045" s="40"/>
      <c r="C2045" s="40"/>
      <c r="D2045" s="40"/>
      <c r="E2045" s="40"/>
      <c r="F2045" s="40"/>
      <c r="G2045" s="40"/>
      <c r="H2045" s="40"/>
      <c r="I2045" s="40"/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20"/>
    </row>
    <row r="2046" spans="1:50" s="1" customFormat="1" ht="21.95" customHeight="1" outlineLevel="3" x14ac:dyDescent="0.2">
      <c r="A2046" s="11"/>
      <c r="B2046" s="12">
        <v>440</v>
      </c>
      <c r="C2046" s="12">
        <v>690</v>
      </c>
      <c r="D2046" s="12">
        <v>30942</v>
      </c>
      <c r="E2046" s="13" t="s">
        <v>161</v>
      </c>
      <c r="F2046" s="13" t="s">
        <v>6666</v>
      </c>
      <c r="G2046" s="13" t="s">
        <v>163</v>
      </c>
      <c r="H2046" s="13" t="s">
        <v>164</v>
      </c>
      <c r="I2046" s="12">
        <v>2025</v>
      </c>
      <c r="J2046" s="13" t="s">
        <v>6667</v>
      </c>
      <c r="K2046" s="12">
        <v>9785961497014</v>
      </c>
      <c r="L2046" s="13" t="s">
        <v>6668</v>
      </c>
      <c r="M2046" s="12">
        <v>32</v>
      </c>
      <c r="N2046" s="14">
        <v>0.21</v>
      </c>
      <c r="O2046" s="12">
        <v>200</v>
      </c>
      <c r="P2046" s="12">
        <v>200</v>
      </c>
      <c r="Q2046" s="12">
        <v>15</v>
      </c>
      <c r="R2046" s="13" t="s">
        <v>167</v>
      </c>
      <c r="S2046" s="13" t="s">
        <v>168</v>
      </c>
      <c r="T2046" s="15">
        <v>1500</v>
      </c>
      <c r="U2046" s="13" t="s">
        <v>52</v>
      </c>
      <c r="V2046" s="13" t="s">
        <v>64</v>
      </c>
      <c r="W2046" s="12">
        <v>10</v>
      </c>
      <c r="X2046" s="33" t="str">
        <f>HYPERLINK("https://www.alpinabook.ru/catalog/book-avtomekhanik","ссылка на книгу")</f>
        <v>ссылка на книгу</v>
      </c>
      <c r="Y2046" s="34" t="str">
        <f>HYPERLINK("","")</f>
        <v/>
      </c>
      <c r="Z2046" s="13" t="s">
        <v>847</v>
      </c>
      <c r="AT2046" s="1">
        <f t="shared" ref="AT2046:AT2064" si="385">IF($A2046&lt;&gt;0,1,0)</f>
        <v>0</v>
      </c>
      <c r="AU2046" s="1">
        <f t="shared" ref="AU2046:AU2064" si="386">$A2046*$B2046</f>
        <v>0</v>
      </c>
      <c r="AV2046" s="1">
        <f t="shared" ref="AV2046:AV2064" si="387">$A2046*$N2046</f>
        <v>0</v>
      </c>
      <c r="AW2046" s="1">
        <f t="shared" ref="AW2046:AW2064" si="388">IF($Q2046=0,0,INT($A2046/$Q2046))</f>
        <v>0</v>
      </c>
      <c r="AX2046" s="1">
        <f t="shared" ref="AX2046:AX2064" si="389">$A2046-$AW2046*$Q2046</f>
        <v>0</v>
      </c>
    </row>
    <row r="2047" spans="1:50" s="1" customFormat="1" ht="24.95" customHeight="1" outlineLevel="3" x14ac:dyDescent="0.2">
      <c r="A2047" s="11"/>
      <c r="B2047" s="12">
        <v>440</v>
      </c>
      <c r="C2047" s="12">
        <v>590</v>
      </c>
      <c r="D2047" s="12">
        <v>25903</v>
      </c>
      <c r="E2047" s="13" t="s">
        <v>161</v>
      </c>
      <c r="F2047" s="13" t="s">
        <v>301</v>
      </c>
      <c r="G2047" s="13" t="s">
        <v>163</v>
      </c>
      <c r="H2047" s="13" t="s">
        <v>164</v>
      </c>
      <c r="I2047" s="12">
        <v>2025</v>
      </c>
      <c r="J2047" s="13" t="s">
        <v>302</v>
      </c>
      <c r="K2047" s="12">
        <v>9785961484069</v>
      </c>
      <c r="L2047" s="13" t="s">
        <v>303</v>
      </c>
      <c r="M2047" s="12">
        <v>32</v>
      </c>
      <c r="N2047" s="14">
        <v>0.25</v>
      </c>
      <c r="O2047" s="12">
        <v>200</v>
      </c>
      <c r="P2047" s="12">
        <v>200</v>
      </c>
      <c r="Q2047" s="12">
        <v>15</v>
      </c>
      <c r="R2047" s="13" t="s">
        <v>167</v>
      </c>
      <c r="S2047" s="13" t="s">
        <v>168</v>
      </c>
      <c r="T2047" s="15">
        <v>1500</v>
      </c>
      <c r="U2047" s="13" t="s">
        <v>52</v>
      </c>
      <c r="V2047" s="13" t="s">
        <v>64</v>
      </c>
      <c r="W2047" s="12">
        <v>10</v>
      </c>
      <c r="X2047" s="33" t="str">
        <f>HYPERLINK("https://www.alpinabook.ru/catalog/book-balerina","ссылка на книгу")</f>
        <v>ссылка на книгу</v>
      </c>
      <c r="Y2047" s="34" t="str">
        <f>HYPERLINK("https://api-enni.alpina.ru/FileCertificateProject/45","https://api-enni.alpina.ru/FileCertificateProject/45")</f>
        <v>https://api-enni.alpina.ru/FileCertificateProject/45</v>
      </c>
      <c r="Z2047" s="13" t="s">
        <v>132</v>
      </c>
      <c r="AT2047" s="1">
        <f t="shared" si="385"/>
        <v>0</v>
      </c>
      <c r="AU2047" s="1">
        <f t="shared" si="386"/>
        <v>0</v>
      </c>
      <c r="AV2047" s="1">
        <f t="shared" si="387"/>
        <v>0</v>
      </c>
      <c r="AW2047" s="1">
        <f t="shared" si="388"/>
        <v>0</v>
      </c>
      <c r="AX2047" s="1">
        <f t="shared" si="389"/>
        <v>0</v>
      </c>
    </row>
    <row r="2048" spans="1:50" s="1" customFormat="1" ht="24.95" customHeight="1" outlineLevel="3" x14ac:dyDescent="0.2">
      <c r="A2048" s="11"/>
      <c r="B2048" s="12">
        <v>440</v>
      </c>
      <c r="C2048" s="12">
        <v>590</v>
      </c>
      <c r="D2048" s="12">
        <v>22556</v>
      </c>
      <c r="E2048" s="13" t="s">
        <v>161</v>
      </c>
      <c r="F2048" s="13" t="s">
        <v>344</v>
      </c>
      <c r="G2048" s="13" t="s">
        <v>163</v>
      </c>
      <c r="H2048" s="13" t="s">
        <v>164</v>
      </c>
      <c r="I2048" s="12">
        <v>2025</v>
      </c>
      <c r="J2048" s="13" t="s">
        <v>345</v>
      </c>
      <c r="K2048" s="12">
        <v>9785961455519</v>
      </c>
      <c r="L2048" s="13" t="s">
        <v>346</v>
      </c>
      <c r="M2048" s="12">
        <v>32</v>
      </c>
      <c r="N2048" s="14">
        <v>0.23</v>
      </c>
      <c r="O2048" s="12">
        <v>198</v>
      </c>
      <c r="P2048" s="12">
        <v>199</v>
      </c>
      <c r="Q2048" s="12">
        <v>15</v>
      </c>
      <c r="R2048" s="13" t="s">
        <v>167</v>
      </c>
      <c r="S2048" s="13" t="s">
        <v>168</v>
      </c>
      <c r="T2048" s="15">
        <v>1500</v>
      </c>
      <c r="U2048" s="13" t="s">
        <v>52</v>
      </c>
      <c r="V2048" s="13" t="s">
        <v>64</v>
      </c>
      <c r="W2048" s="12">
        <v>10</v>
      </c>
      <c r="X2048" s="33" t="str">
        <f>HYPERLINK("https://www.alpinabook.ru/catalog/book-veterinar","ссылка на книгу")</f>
        <v>ссылка на книгу</v>
      </c>
      <c r="Y2048" s="34" t="str">
        <f>HYPERLINK("https://api-enni.alpina.ru/FileCertificateProject/653","https://api-enni.alpina.ru/FileCertificateProject/653")</f>
        <v>https://api-enni.alpina.ru/FileCertificateProject/653</v>
      </c>
      <c r="Z2048" s="13" t="s">
        <v>132</v>
      </c>
      <c r="AT2048" s="1">
        <f t="shared" si="385"/>
        <v>0</v>
      </c>
      <c r="AU2048" s="1">
        <f t="shared" si="386"/>
        <v>0</v>
      </c>
      <c r="AV2048" s="1">
        <f t="shared" si="387"/>
        <v>0</v>
      </c>
      <c r="AW2048" s="1">
        <f t="shared" si="388"/>
        <v>0</v>
      </c>
      <c r="AX2048" s="1">
        <f t="shared" si="389"/>
        <v>0</v>
      </c>
    </row>
    <row r="2049" spans="1:50" s="1" customFormat="1" ht="24.95" customHeight="1" outlineLevel="3" x14ac:dyDescent="0.2">
      <c r="A2049" s="11"/>
      <c r="B2049" s="12">
        <v>390</v>
      </c>
      <c r="C2049" s="12">
        <v>590</v>
      </c>
      <c r="D2049" s="12">
        <v>22559</v>
      </c>
      <c r="E2049" s="13" t="s">
        <v>161</v>
      </c>
      <c r="F2049" s="13" t="s">
        <v>6669</v>
      </c>
      <c r="G2049" s="13" t="s">
        <v>163</v>
      </c>
      <c r="H2049" s="13" t="s">
        <v>164</v>
      </c>
      <c r="I2049" s="12">
        <v>2024</v>
      </c>
      <c r="J2049" s="13" t="s">
        <v>6670</v>
      </c>
      <c r="K2049" s="12">
        <v>9785961456165</v>
      </c>
      <c r="L2049" s="13" t="s">
        <v>6671</v>
      </c>
      <c r="M2049" s="12">
        <v>32</v>
      </c>
      <c r="N2049" s="14">
        <v>0.24</v>
      </c>
      <c r="O2049" s="12">
        <v>198</v>
      </c>
      <c r="P2049" s="12">
        <v>198</v>
      </c>
      <c r="Q2049" s="12">
        <v>15</v>
      </c>
      <c r="R2049" s="13" t="s">
        <v>167</v>
      </c>
      <c r="S2049" s="13" t="s">
        <v>168</v>
      </c>
      <c r="T2049" s="15">
        <v>1500</v>
      </c>
      <c r="U2049" s="13" t="s">
        <v>52</v>
      </c>
      <c r="V2049" s="13" t="s">
        <v>64</v>
      </c>
      <c r="W2049" s="12">
        <v>10</v>
      </c>
      <c r="X2049" s="33" t="str">
        <f>HYPERLINK("https://www.alpinabook.ru/catalog/book-voditel-avtobusa","ссылка на книгу")</f>
        <v>ссылка на книгу</v>
      </c>
      <c r="Y2049" s="34" t="str">
        <f>HYPERLINK("https://api-enni.alpina.ru/FileCertificateProject/654","https://api-enni.alpina.ru/FileCertificateProject/654")</f>
        <v>https://api-enni.alpina.ru/FileCertificateProject/654</v>
      </c>
      <c r="Z2049" s="13"/>
      <c r="AT2049" s="1">
        <f t="shared" si="385"/>
        <v>0</v>
      </c>
      <c r="AU2049" s="1">
        <f t="shared" si="386"/>
        <v>0</v>
      </c>
      <c r="AV2049" s="1">
        <f t="shared" si="387"/>
        <v>0</v>
      </c>
      <c r="AW2049" s="1">
        <f t="shared" si="388"/>
        <v>0</v>
      </c>
      <c r="AX2049" s="1">
        <f t="shared" si="389"/>
        <v>0</v>
      </c>
    </row>
    <row r="2050" spans="1:50" s="1" customFormat="1" ht="21.95" customHeight="1" outlineLevel="3" x14ac:dyDescent="0.2">
      <c r="A2050" s="11"/>
      <c r="B2050" s="12">
        <v>440</v>
      </c>
      <c r="C2050" s="12">
        <v>690</v>
      </c>
      <c r="D2050" s="12">
        <v>30940</v>
      </c>
      <c r="E2050" s="13" t="s">
        <v>161</v>
      </c>
      <c r="F2050" s="13" t="s">
        <v>6672</v>
      </c>
      <c r="G2050" s="13" t="s">
        <v>163</v>
      </c>
      <c r="H2050" s="13" t="s">
        <v>164</v>
      </c>
      <c r="I2050" s="12">
        <v>2025</v>
      </c>
      <c r="J2050" s="13" t="s">
        <v>6673</v>
      </c>
      <c r="K2050" s="12">
        <v>9785961496994</v>
      </c>
      <c r="L2050" s="13" t="s">
        <v>6674</v>
      </c>
      <c r="M2050" s="12">
        <v>32</v>
      </c>
      <c r="N2050" s="14">
        <v>0.21</v>
      </c>
      <c r="O2050" s="12">
        <v>200</v>
      </c>
      <c r="P2050" s="12">
        <v>200</v>
      </c>
      <c r="Q2050" s="12">
        <v>15</v>
      </c>
      <c r="R2050" s="13" t="s">
        <v>167</v>
      </c>
      <c r="S2050" s="13" t="s">
        <v>168</v>
      </c>
      <c r="T2050" s="15">
        <v>1500</v>
      </c>
      <c r="U2050" s="13" t="s">
        <v>52</v>
      </c>
      <c r="V2050" s="13" t="s">
        <v>64</v>
      </c>
      <c r="W2050" s="12">
        <v>10</v>
      </c>
      <c r="X2050" s="33" t="str">
        <f>HYPERLINK("https://www.alpinabook.ru/catalog/book-voditel-gruzovika","ссылка на книгу")</f>
        <v>ссылка на книгу</v>
      </c>
      <c r="Y2050" s="34" t="str">
        <f>HYPERLINK("","")</f>
        <v/>
      </c>
      <c r="Z2050" s="13" t="s">
        <v>847</v>
      </c>
      <c r="AT2050" s="1">
        <f t="shared" si="385"/>
        <v>0</v>
      </c>
      <c r="AU2050" s="1">
        <f t="shared" si="386"/>
        <v>0</v>
      </c>
      <c r="AV2050" s="1">
        <f t="shared" si="387"/>
        <v>0</v>
      </c>
      <c r="AW2050" s="1">
        <f t="shared" si="388"/>
        <v>0</v>
      </c>
      <c r="AX2050" s="1">
        <f t="shared" si="389"/>
        <v>0</v>
      </c>
    </row>
    <row r="2051" spans="1:50" s="1" customFormat="1" ht="24.95" customHeight="1" outlineLevel="3" x14ac:dyDescent="0.2">
      <c r="A2051" s="11"/>
      <c r="B2051" s="12">
        <v>440</v>
      </c>
      <c r="C2051" s="12">
        <v>590</v>
      </c>
      <c r="D2051" s="12">
        <v>22541</v>
      </c>
      <c r="E2051" s="13" t="s">
        <v>161</v>
      </c>
      <c r="F2051" s="13" t="s">
        <v>6675</v>
      </c>
      <c r="G2051" s="13" t="s">
        <v>163</v>
      </c>
      <c r="H2051" s="13" t="s">
        <v>164</v>
      </c>
      <c r="I2051" s="12">
        <v>2025</v>
      </c>
      <c r="J2051" s="13" t="s">
        <v>6676</v>
      </c>
      <c r="K2051" s="12">
        <v>9785961452556</v>
      </c>
      <c r="L2051" s="13" t="s">
        <v>6677</v>
      </c>
      <c r="M2051" s="12">
        <v>32</v>
      </c>
      <c r="N2051" s="14">
        <v>0.23</v>
      </c>
      <c r="O2051" s="12">
        <v>200</v>
      </c>
      <c r="P2051" s="12">
        <v>200</v>
      </c>
      <c r="Q2051" s="12">
        <v>15</v>
      </c>
      <c r="R2051" s="13" t="s">
        <v>167</v>
      </c>
      <c r="S2051" s="13" t="s">
        <v>168</v>
      </c>
      <c r="T2051" s="15">
        <v>1500</v>
      </c>
      <c r="U2051" s="13" t="s">
        <v>52</v>
      </c>
      <c r="V2051" s="13" t="s">
        <v>64</v>
      </c>
      <c r="W2051" s="12">
        <v>10</v>
      </c>
      <c r="X2051" s="33" t="str">
        <f>HYPERLINK("https://www.alpinabook.ru/catalog/book-voditel-musorovoza","ссылка на книгу")</f>
        <v>ссылка на книгу</v>
      </c>
      <c r="Y2051" s="34" t="str">
        <f>HYPERLINK("https://api-enni.alpina.ru/FileCertificateProject/656","https://api-enni.alpina.ru/FileCertificateProject/656")</f>
        <v>https://api-enni.alpina.ru/FileCertificateProject/656</v>
      </c>
      <c r="Z2051" s="13" t="s">
        <v>847</v>
      </c>
      <c r="AT2051" s="1">
        <f t="shared" si="385"/>
        <v>0</v>
      </c>
      <c r="AU2051" s="1">
        <f t="shared" si="386"/>
        <v>0</v>
      </c>
      <c r="AV2051" s="1">
        <f t="shared" si="387"/>
        <v>0</v>
      </c>
      <c r="AW2051" s="1">
        <f t="shared" si="388"/>
        <v>0</v>
      </c>
      <c r="AX2051" s="1">
        <f t="shared" si="389"/>
        <v>0</v>
      </c>
    </row>
    <row r="2052" spans="1:50" s="1" customFormat="1" ht="24.95" customHeight="1" outlineLevel="3" x14ac:dyDescent="0.2">
      <c r="A2052" s="26"/>
      <c r="B2052" s="27">
        <v>340</v>
      </c>
      <c r="C2052" s="27">
        <v>540</v>
      </c>
      <c r="D2052" s="27">
        <v>24743</v>
      </c>
      <c r="E2052" s="29" t="s">
        <v>161</v>
      </c>
      <c r="F2052" s="29" t="s">
        <v>6678</v>
      </c>
      <c r="G2052" s="29" t="s">
        <v>163</v>
      </c>
      <c r="H2052" s="29" t="s">
        <v>164</v>
      </c>
      <c r="I2052" s="27">
        <v>2022</v>
      </c>
      <c r="J2052" s="29" t="s">
        <v>6679</v>
      </c>
      <c r="K2052" s="27">
        <v>9785961475982</v>
      </c>
      <c r="L2052" s="29" t="s">
        <v>6680</v>
      </c>
      <c r="M2052" s="27">
        <v>32</v>
      </c>
      <c r="N2052" s="30">
        <v>0.23</v>
      </c>
      <c r="O2052" s="27">
        <v>198</v>
      </c>
      <c r="P2052" s="27">
        <v>198</v>
      </c>
      <c r="Q2052" s="27">
        <v>15</v>
      </c>
      <c r="R2052" s="29" t="s">
        <v>167</v>
      </c>
      <c r="S2052" s="29" t="s">
        <v>168</v>
      </c>
      <c r="T2052" s="28">
        <v>2000</v>
      </c>
      <c r="U2052" s="29" t="s">
        <v>52</v>
      </c>
      <c r="V2052" s="29" t="s">
        <v>269</v>
      </c>
      <c r="W2052" s="27">
        <v>10</v>
      </c>
      <c r="X2052" s="37" t="str">
        <f>HYPERLINK("https://www.alpinabook.ru/catalog/book-kapitan-buksira","ссылка на книгу")</f>
        <v>ссылка на книгу</v>
      </c>
      <c r="Y2052" s="38" t="str">
        <f>HYPERLINK("https://api-enni.alpina.ru/FileCertificateProject/250","https://api-enni.alpina.ru/FileCertificateProject/250")</f>
        <v>https://api-enni.alpina.ru/FileCertificateProject/250</v>
      </c>
      <c r="Z2052" s="29"/>
      <c r="AT2052" s="1">
        <f t="shared" si="385"/>
        <v>0</v>
      </c>
      <c r="AU2052" s="1">
        <f t="shared" si="386"/>
        <v>0</v>
      </c>
      <c r="AV2052" s="1">
        <f t="shared" si="387"/>
        <v>0</v>
      </c>
      <c r="AW2052" s="1">
        <f t="shared" si="388"/>
        <v>0</v>
      </c>
      <c r="AX2052" s="1">
        <f t="shared" si="389"/>
        <v>0</v>
      </c>
    </row>
    <row r="2053" spans="1:50" s="1" customFormat="1" ht="21.95" customHeight="1" outlineLevel="3" x14ac:dyDescent="0.2">
      <c r="A2053" s="11"/>
      <c r="B2053" s="12">
        <v>440</v>
      </c>
      <c r="C2053" s="12">
        <v>690</v>
      </c>
      <c r="D2053" s="12">
        <v>28965</v>
      </c>
      <c r="E2053" s="13" t="s">
        <v>161</v>
      </c>
      <c r="F2053" s="13" t="s">
        <v>6681</v>
      </c>
      <c r="G2053" s="13" t="s">
        <v>163</v>
      </c>
      <c r="H2053" s="13" t="s">
        <v>164</v>
      </c>
      <c r="I2053" s="12">
        <v>2025</v>
      </c>
      <c r="J2053" s="13" t="s">
        <v>6682</v>
      </c>
      <c r="K2053" s="12">
        <v>9785961490909</v>
      </c>
      <c r="L2053" s="13" t="s">
        <v>6683</v>
      </c>
      <c r="M2053" s="12">
        <v>32</v>
      </c>
      <c r="N2053" s="14">
        <v>0.21</v>
      </c>
      <c r="O2053" s="12">
        <v>200</v>
      </c>
      <c r="P2053" s="12">
        <v>200</v>
      </c>
      <c r="Q2053" s="12">
        <v>15</v>
      </c>
      <c r="R2053" s="13" t="s">
        <v>167</v>
      </c>
      <c r="S2053" s="13" t="s">
        <v>168</v>
      </c>
      <c r="T2053" s="15">
        <v>1500</v>
      </c>
      <c r="U2053" s="13" t="s">
        <v>52</v>
      </c>
      <c r="V2053" s="13" t="s">
        <v>64</v>
      </c>
      <c r="W2053" s="12">
        <v>10</v>
      </c>
      <c r="X2053" s="33" t="str">
        <f>HYPERLINK("https://www.alpinabook.ru/catalog/book-kosmonavt","ссылка на книгу")</f>
        <v>ссылка на книгу</v>
      </c>
      <c r="Y2053" s="34" t="str">
        <f>HYPERLINK("","")</f>
        <v/>
      </c>
      <c r="Z2053" s="13" t="s">
        <v>847</v>
      </c>
      <c r="AT2053" s="1">
        <f t="shared" si="385"/>
        <v>0</v>
      </c>
      <c r="AU2053" s="1">
        <f t="shared" si="386"/>
        <v>0</v>
      </c>
      <c r="AV2053" s="1">
        <f t="shared" si="387"/>
        <v>0</v>
      </c>
      <c r="AW2053" s="1">
        <f t="shared" si="388"/>
        <v>0</v>
      </c>
      <c r="AX2053" s="1">
        <f t="shared" si="389"/>
        <v>0</v>
      </c>
    </row>
    <row r="2054" spans="1:50" s="1" customFormat="1" ht="21.95" customHeight="1" outlineLevel="3" x14ac:dyDescent="0.2">
      <c r="A2054" s="11"/>
      <c r="B2054" s="12">
        <v>440</v>
      </c>
      <c r="C2054" s="12">
        <v>590</v>
      </c>
      <c r="D2054" s="12">
        <v>28964</v>
      </c>
      <c r="E2054" s="13" t="s">
        <v>161</v>
      </c>
      <c r="F2054" s="13" t="s">
        <v>6684</v>
      </c>
      <c r="G2054" s="13" t="s">
        <v>163</v>
      </c>
      <c r="H2054" s="13" t="s">
        <v>164</v>
      </c>
      <c r="I2054" s="12">
        <v>2025</v>
      </c>
      <c r="J2054" s="13" t="s">
        <v>6685</v>
      </c>
      <c r="K2054" s="12">
        <v>9785961490893</v>
      </c>
      <c r="L2054" s="13" t="s">
        <v>6686</v>
      </c>
      <c r="M2054" s="12">
        <v>32</v>
      </c>
      <c r="N2054" s="14">
        <v>0.21</v>
      </c>
      <c r="O2054" s="12">
        <v>200</v>
      </c>
      <c r="P2054" s="12">
        <v>200</v>
      </c>
      <c r="Q2054" s="12">
        <v>15</v>
      </c>
      <c r="R2054" s="13" t="s">
        <v>167</v>
      </c>
      <c r="S2054" s="13" t="s">
        <v>168</v>
      </c>
      <c r="T2054" s="15">
        <v>1500</v>
      </c>
      <c r="U2054" s="13" t="s">
        <v>52</v>
      </c>
      <c r="V2054" s="13" t="s">
        <v>64</v>
      </c>
      <c r="W2054" s="12">
        <v>10</v>
      </c>
      <c r="X2054" s="33" t="str">
        <f>HYPERLINK("https://www.alpinabook.ru/catalog/book-mashinist-poezda","ссылка на книгу")</f>
        <v>ссылка на книгу</v>
      </c>
      <c r="Y2054" s="34" t="str">
        <f>HYPERLINK("","")</f>
        <v/>
      </c>
      <c r="Z2054" s="13" t="s">
        <v>1640</v>
      </c>
      <c r="AT2054" s="1">
        <f t="shared" si="385"/>
        <v>0</v>
      </c>
      <c r="AU2054" s="1">
        <f t="shared" si="386"/>
        <v>0</v>
      </c>
      <c r="AV2054" s="1">
        <f t="shared" si="387"/>
        <v>0</v>
      </c>
      <c r="AW2054" s="1">
        <f t="shared" si="388"/>
        <v>0</v>
      </c>
      <c r="AX2054" s="1">
        <f t="shared" si="389"/>
        <v>0</v>
      </c>
    </row>
    <row r="2055" spans="1:50" s="1" customFormat="1" ht="24.95" customHeight="1" outlineLevel="3" x14ac:dyDescent="0.2">
      <c r="A2055" s="11"/>
      <c r="B2055" s="12">
        <v>340</v>
      </c>
      <c r="C2055" s="12">
        <v>340</v>
      </c>
      <c r="D2055" s="12">
        <v>22561</v>
      </c>
      <c r="E2055" s="13" t="s">
        <v>161</v>
      </c>
      <c r="F2055" s="13" t="s">
        <v>6687</v>
      </c>
      <c r="G2055" s="13" t="s">
        <v>163</v>
      </c>
      <c r="H2055" s="13" t="s">
        <v>164</v>
      </c>
      <c r="I2055" s="12">
        <v>2021</v>
      </c>
      <c r="J2055" s="13" t="s">
        <v>6688</v>
      </c>
      <c r="K2055" s="12">
        <v>9785961456240</v>
      </c>
      <c r="L2055" s="13" t="s">
        <v>6689</v>
      </c>
      <c r="M2055" s="12">
        <v>32</v>
      </c>
      <c r="N2055" s="14">
        <v>0.24</v>
      </c>
      <c r="O2055" s="12">
        <v>198</v>
      </c>
      <c r="P2055" s="12">
        <v>198</v>
      </c>
      <c r="Q2055" s="12">
        <v>15</v>
      </c>
      <c r="R2055" s="13" t="s">
        <v>167</v>
      </c>
      <c r="S2055" s="13" t="s">
        <v>168</v>
      </c>
      <c r="T2055" s="15">
        <v>3000</v>
      </c>
      <c r="U2055" s="13" t="s">
        <v>52</v>
      </c>
      <c r="V2055" s="13" t="s">
        <v>64</v>
      </c>
      <c r="W2055" s="12">
        <v>10</v>
      </c>
      <c r="X2055" s="33" t="str">
        <f>HYPERLINK("https://www.alpinabook.ru/catalog/book-716037","ссылка на книгу")</f>
        <v>ссылка на книгу</v>
      </c>
      <c r="Y2055" s="34" t="str">
        <f>HYPERLINK("https://api-enni.alpina.ru/FileCertificateProject/165","https://api-enni.alpina.ru/FileCertificateProject/165")</f>
        <v>https://api-enni.alpina.ru/FileCertificateProject/165</v>
      </c>
      <c r="Z2055" s="13"/>
      <c r="AT2055" s="1">
        <f t="shared" si="385"/>
        <v>0</v>
      </c>
      <c r="AU2055" s="1">
        <f t="shared" si="386"/>
        <v>0</v>
      </c>
      <c r="AV2055" s="1">
        <f t="shared" si="387"/>
        <v>0</v>
      </c>
      <c r="AW2055" s="1">
        <f t="shared" si="388"/>
        <v>0</v>
      </c>
      <c r="AX2055" s="1">
        <f t="shared" si="389"/>
        <v>0</v>
      </c>
    </row>
    <row r="2056" spans="1:50" s="1" customFormat="1" ht="21.95" customHeight="1" outlineLevel="3" x14ac:dyDescent="0.2">
      <c r="A2056" s="11"/>
      <c r="B2056" s="12">
        <v>440</v>
      </c>
      <c r="C2056" s="12">
        <v>690</v>
      </c>
      <c r="D2056" s="12">
        <v>30941</v>
      </c>
      <c r="E2056" s="13" t="s">
        <v>161</v>
      </c>
      <c r="F2056" s="13" t="s">
        <v>162</v>
      </c>
      <c r="G2056" s="13" t="s">
        <v>163</v>
      </c>
      <c r="H2056" s="13" t="s">
        <v>164</v>
      </c>
      <c r="I2056" s="12">
        <v>2025</v>
      </c>
      <c r="J2056" s="13" t="s">
        <v>165</v>
      </c>
      <c r="K2056" s="12">
        <v>9785961497007</v>
      </c>
      <c r="L2056" s="13" t="s">
        <v>166</v>
      </c>
      <c r="M2056" s="12">
        <v>32</v>
      </c>
      <c r="N2056" s="14">
        <v>0.21</v>
      </c>
      <c r="O2056" s="12">
        <v>200</v>
      </c>
      <c r="P2056" s="12">
        <v>200</v>
      </c>
      <c r="Q2056" s="12">
        <v>15</v>
      </c>
      <c r="R2056" s="13" t="s">
        <v>167</v>
      </c>
      <c r="S2056" s="13" t="s">
        <v>168</v>
      </c>
      <c r="T2056" s="15">
        <v>1500</v>
      </c>
      <c r="U2056" s="13" t="s">
        <v>52</v>
      </c>
      <c r="V2056" s="13" t="s">
        <v>64</v>
      </c>
      <c r="W2056" s="12">
        <v>10</v>
      </c>
      <c r="X2056" s="33" t="str">
        <f>HYPERLINK("https://www.alpinabook.ru/catalog/book-pozharnyy","ссылка на книгу")</f>
        <v>ссылка на книгу</v>
      </c>
      <c r="Y2056" s="34" t="str">
        <f>HYPERLINK("","")</f>
        <v/>
      </c>
      <c r="Z2056" s="13" t="s">
        <v>132</v>
      </c>
      <c r="AT2056" s="1">
        <f t="shared" si="385"/>
        <v>0</v>
      </c>
      <c r="AU2056" s="1">
        <f t="shared" si="386"/>
        <v>0</v>
      </c>
      <c r="AV2056" s="1">
        <f t="shared" si="387"/>
        <v>0</v>
      </c>
      <c r="AW2056" s="1">
        <f t="shared" si="388"/>
        <v>0</v>
      </c>
      <c r="AX2056" s="1">
        <f t="shared" si="389"/>
        <v>0</v>
      </c>
    </row>
    <row r="2057" spans="1:50" s="1" customFormat="1" ht="24.95" customHeight="1" outlineLevel="3" x14ac:dyDescent="0.2">
      <c r="A2057" s="11"/>
      <c r="B2057" s="12">
        <v>440</v>
      </c>
      <c r="C2057" s="12">
        <v>590</v>
      </c>
      <c r="D2057" s="12">
        <v>32329</v>
      </c>
      <c r="E2057" s="13" t="s">
        <v>161</v>
      </c>
      <c r="F2057" s="13" t="s">
        <v>6690</v>
      </c>
      <c r="G2057" s="13" t="s">
        <v>163</v>
      </c>
      <c r="H2057" s="13" t="s">
        <v>164</v>
      </c>
      <c r="I2057" s="12">
        <v>2025</v>
      </c>
      <c r="J2057" s="13" t="s">
        <v>6691</v>
      </c>
      <c r="K2057" s="12">
        <v>9785006301894</v>
      </c>
      <c r="L2057" s="13" t="s">
        <v>6692</v>
      </c>
      <c r="M2057" s="12">
        <v>32</v>
      </c>
      <c r="N2057" s="14">
        <v>0.21</v>
      </c>
      <c r="O2057" s="12">
        <v>200</v>
      </c>
      <c r="P2057" s="12">
        <v>200</v>
      </c>
      <c r="Q2057" s="12">
        <v>15</v>
      </c>
      <c r="R2057" s="13" t="s">
        <v>167</v>
      </c>
      <c r="S2057" s="13" t="s">
        <v>168</v>
      </c>
      <c r="T2057" s="15">
        <v>1500</v>
      </c>
      <c r="U2057" s="13" t="s">
        <v>52</v>
      </c>
      <c r="V2057" s="13" t="s">
        <v>269</v>
      </c>
      <c r="W2057" s="12">
        <v>10</v>
      </c>
      <c r="X2057" s="33" t="str">
        <f>HYPERLINK("https://www.alpinabook.ru/catalog/book-politseyskiy","ссылка на книгу")</f>
        <v>ссылка на книгу</v>
      </c>
      <c r="Y2057" s="34" t="str">
        <f>HYPERLINK("https://api-enni.alpina.ru/FileCertificateProject/756","https://api-enni.alpina.ru/FileCertificateProject/756")</f>
        <v>https://api-enni.alpina.ru/FileCertificateProject/756</v>
      </c>
      <c r="Z2057" s="13" t="s">
        <v>1640</v>
      </c>
      <c r="AT2057" s="1">
        <f t="shared" si="385"/>
        <v>0</v>
      </c>
      <c r="AU2057" s="1">
        <f t="shared" si="386"/>
        <v>0</v>
      </c>
      <c r="AV2057" s="1">
        <f t="shared" si="387"/>
        <v>0</v>
      </c>
      <c r="AW2057" s="1">
        <f t="shared" si="388"/>
        <v>0</v>
      </c>
      <c r="AX2057" s="1">
        <f t="shared" si="389"/>
        <v>0</v>
      </c>
    </row>
    <row r="2058" spans="1:50" s="1" customFormat="1" ht="24.95" customHeight="1" outlineLevel="3" x14ac:dyDescent="0.2">
      <c r="A2058" s="11"/>
      <c r="B2058" s="12">
        <v>390</v>
      </c>
      <c r="C2058" s="12">
        <v>640</v>
      </c>
      <c r="D2058" s="12">
        <v>25901</v>
      </c>
      <c r="E2058" s="13" t="s">
        <v>161</v>
      </c>
      <c r="F2058" s="13" t="s">
        <v>6693</v>
      </c>
      <c r="G2058" s="13" t="s">
        <v>163</v>
      </c>
      <c r="H2058" s="13" t="s">
        <v>164</v>
      </c>
      <c r="I2058" s="12">
        <v>2023</v>
      </c>
      <c r="J2058" s="13" t="s">
        <v>6694</v>
      </c>
      <c r="K2058" s="12">
        <v>9785961487626</v>
      </c>
      <c r="L2058" s="13" t="s">
        <v>6695</v>
      </c>
      <c r="M2058" s="12">
        <v>32</v>
      </c>
      <c r="N2058" s="14">
        <v>0.24</v>
      </c>
      <c r="O2058" s="12">
        <v>200</v>
      </c>
      <c r="P2058" s="12">
        <v>200</v>
      </c>
      <c r="Q2058" s="12">
        <v>15</v>
      </c>
      <c r="R2058" s="13" t="s">
        <v>167</v>
      </c>
      <c r="S2058" s="13" t="s">
        <v>168</v>
      </c>
      <c r="T2058" s="15">
        <v>1500</v>
      </c>
      <c r="U2058" s="13" t="s">
        <v>52</v>
      </c>
      <c r="V2058" s="13" t="s">
        <v>64</v>
      </c>
      <c r="W2058" s="12">
        <v>10</v>
      </c>
      <c r="X2058" s="33" t="str">
        <f>HYPERLINK("https://www.alpinabook.ru/catalog/book-pochtalon","ссылка на книгу")</f>
        <v>ссылка на книгу</v>
      </c>
      <c r="Y2058" s="34" t="str">
        <f>HYPERLINK("https://api-enni.alpina.ru/FileCertificateProject/351","https://api-enni.alpina.ru/FileCertificateProject/351")</f>
        <v>https://api-enni.alpina.ru/FileCertificateProject/351</v>
      </c>
      <c r="Z2058" s="13"/>
      <c r="AT2058" s="1">
        <f t="shared" si="385"/>
        <v>0</v>
      </c>
      <c r="AU2058" s="1">
        <f t="shared" si="386"/>
        <v>0</v>
      </c>
      <c r="AV2058" s="1">
        <f t="shared" si="387"/>
        <v>0</v>
      </c>
      <c r="AW2058" s="1">
        <f t="shared" si="388"/>
        <v>0</v>
      </c>
      <c r="AX2058" s="1">
        <f t="shared" si="389"/>
        <v>0</v>
      </c>
    </row>
    <row r="2059" spans="1:50" s="1" customFormat="1" ht="21.95" customHeight="1" outlineLevel="3" x14ac:dyDescent="0.2">
      <c r="A2059" s="11"/>
      <c r="B2059" s="12">
        <v>390</v>
      </c>
      <c r="C2059" s="12">
        <v>640</v>
      </c>
      <c r="D2059" s="12">
        <v>25600</v>
      </c>
      <c r="E2059" s="13" t="s">
        <v>161</v>
      </c>
      <c r="F2059" s="13" t="s">
        <v>6696</v>
      </c>
      <c r="G2059" s="13" t="s">
        <v>163</v>
      </c>
      <c r="H2059" s="13" t="s">
        <v>164</v>
      </c>
      <c r="I2059" s="12">
        <v>2022</v>
      </c>
      <c r="J2059" s="13" t="s">
        <v>6697</v>
      </c>
      <c r="K2059" s="12">
        <v>9785961478174</v>
      </c>
      <c r="L2059" s="13" t="s">
        <v>6698</v>
      </c>
      <c r="M2059" s="12">
        <v>32</v>
      </c>
      <c r="N2059" s="14">
        <v>0.25</v>
      </c>
      <c r="O2059" s="12">
        <v>198</v>
      </c>
      <c r="P2059" s="12">
        <v>198</v>
      </c>
      <c r="Q2059" s="12">
        <v>15</v>
      </c>
      <c r="R2059" s="13" t="s">
        <v>167</v>
      </c>
      <c r="S2059" s="13" t="s">
        <v>168</v>
      </c>
      <c r="T2059" s="15">
        <v>2000</v>
      </c>
      <c r="U2059" s="13" t="s">
        <v>52</v>
      </c>
      <c r="V2059" s="13" t="s">
        <v>5626</v>
      </c>
      <c r="W2059" s="12">
        <v>10</v>
      </c>
      <c r="X2059" s="33" t="str">
        <f>HYPERLINK("https://www.alpinabook.ru/catalog/book-pchelovod","ссылка на книгу")</f>
        <v>ссылка на книгу</v>
      </c>
      <c r="Y2059" s="34" t="str">
        <f>HYPERLINK("","")</f>
        <v/>
      </c>
      <c r="Z2059" s="13"/>
      <c r="AT2059" s="1">
        <f t="shared" si="385"/>
        <v>0</v>
      </c>
      <c r="AU2059" s="1">
        <f t="shared" si="386"/>
        <v>0</v>
      </c>
      <c r="AV2059" s="1">
        <f t="shared" si="387"/>
        <v>0</v>
      </c>
      <c r="AW2059" s="1">
        <f t="shared" si="388"/>
        <v>0</v>
      </c>
      <c r="AX2059" s="1">
        <f t="shared" si="389"/>
        <v>0</v>
      </c>
    </row>
    <row r="2060" spans="1:50" s="1" customFormat="1" ht="24.95" customHeight="1" outlineLevel="3" x14ac:dyDescent="0.2">
      <c r="A2060" s="11"/>
      <c r="B2060" s="12">
        <v>340</v>
      </c>
      <c r="C2060" s="12">
        <v>540</v>
      </c>
      <c r="D2060" s="12">
        <v>23793</v>
      </c>
      <c r="E2060" s="13" t="s">
        <v>161</v>
      </c>
      <c r="F2060" s="13" t="s">
        <v>6699</v>
      </c>
      <c r="G2060" s="13" t="s">
        <v>163</v>
      </c>
      <c r="H2060" s="13" t="s">
        <v>164</v>
      </c>
      <c r="I2060" s="12">
        <v>2021</v>
      </c>
      <c r="J2060" s="13" t="s">
        <v>6700</v>
      </c>
      <c r="K2060" s="12">
        <v>9785961473766</v>
      </c>
      <c r="L2060" s="13" t="s">
        <v>6701</v>
      </c>
      <c r="M2060" s="12">
        <v>32</v>
      </c>
      <c r="N2060" s="14">
        <v>0.24</v>
      </c>
      <c r="O2060" s="12">
        <v>198</v>
      </c>
      <c r="P2060" s="12">
        <v>198</v>
      </c>
      <c r="Q2060" s="12">
        <v>15</v>
      </c>
      <c r="R2060" s="13" t="s">
        <v>167</v>
      </c>
      <c r="S2060" s="13" t="s">
        <v>168</v>
      </c>
      <c r="T2060" s="15">
        <v>3000</v>
      </c>
      <c r="U2060" s="13" t="s">
        <v>52</v>
      </c>
      <c r="V2060" s="13" t="s">
        <v>64</v>
      </c>
      <c r="W2060" s="12">
        <v>10</v>
      </c>
      <c r="X2060" s="33" t="str">
        <f>HYPERLINK("https://www.alpinabook.ru/catalog/book-sadovod","ссылка на книгу")</f>
        <v>ссылка на книгу</v>
      </c>
      <c r="Y2060" s="34" t="str">
        <f>HYPERLINK("https://api-enni.alpina.ru/FileCertificateProject/26","https://api-enni.alpina.ru/FileCertificateProject/26")</f>
        <v>https://api-enni.alpina.ru/FileCertificateProject/26</v>
      </c>
      <c r="Z2060" s="13"/>
      <c r="AT2060" s="1">
        <f t="shared" si="385"/>
        <v>0</v>
      </c>
      <c r="AU2060" s="1">
        <f t="shared" si="386"/>
        <v>0</v>
      </c>
      <c r="AV2060" s="1">
        <f t="shared" si="387"/>
        <v>0</v>
      </c>
      <c r="AW2060" s="1">
        <f t="shared" si="388"/>
        <v>0</v>
      </c>
      <c r="AX2060" s="1">
        <f t="shared" si="389"/>
        <v>0</v>
      </c>
    </row>
    <row r="2061" spans="1:50" s="1" customFormat="1" ht="24.95" customHeight="1" outlineLevel="3" x14ac:dyDescent="0.2">
      <c r="A2061" s="26"/>
      <c r="B2061" s="27">
        <v>340</v>
      </c>
      <c r="C2061" s="27">
        <v>540</v>
      </c>
      <c r="D2061" s="27">
        <v>23792</v>
      </c>
      <c r="E2061" s="29" t="s">
        <v>161</v>
      </c>
      <c r="F2061" s="29" t="s">
        <v>6702</v>
      </c>
      <c r="G2061" s="29" t="s">
        <v>163</v>
      </c>
      <c r="H2061" s="29" t="s">
        <v>164</v>
      </c>
      <c r="I2061" s="27">
        <v>2021</v>
      </c>
      <c r="J2061" s="29" t="s">
        <v>6703</v>
      </c>
      <c r="K2061" s="27">
        <v>9785961473520</v>
      </c>
      <c r="L2061" s="29" t="s">
        <v>6704</v>
      </c>
      <c r="M2061" s="27">
        <v>32</v>
      </c>
      <c r="N2061" s="30">
        <v>0.24</v>
      </c>
      <c r="O2061" s="27">
        <v>198</v>
      </c>
      <c r="P2061" s="27">
        <v>198</v>
      </c>
      <c r="Q2061" s="27">
        <v>15</v>
      </c>
      <c r="R2061" s="29" t="s">
        <v>167</v>
      </c>
      <c r="S2061" s="29" t="s">
        <v>168</v>
      </c>
      <c r="T2061" s="28">
        <v>3000</v>
      </c>
      <c r="U2061" s="29" t="s">
        <v>52</v>
      </c>
      <c r="V2061" s="29" t="s">
        <v>64</v>
      </c>
      <c r="W2061" s="27">
        <v>10</v>
      </c>
      <c r="X2061" s="37" t="str">
        <f>HYPERLINK("https://www.alpinabook.ru/catalog/book-smotritel-zooparka","ссылка на книгу")</f>
        <v>ссылка на книгу</v>
      </c>
      <c r="Y2061" s="38" t="str">
        <f>HYPERLINK("https://api-enni.alpina.ru/FileCertificateProject/25","https://api-enni.alpina.ru/FileCertificateProject/25")</f>
        <v>https://api-enni.alpina.ru/FileCertificateProject/25</v>
      </c>
      <c r="Z2061" s="29"/>
      <c r="AT2061" s="1">
        <f t="shared" si="385"/>
        <v>0</v>
      </c>
      <c r="AU2061" s="1">
        <f t="shared" si="386"/>
        <v>0</v>
      </c>
      <c r="AV2061" s="1">
        <f t="shared" si="387"/>
        <v>0</v>
      </c>
      <c r="AW2061" s="1">
        <f t="shared" si="388"/>
        <v>0</v>
      </c>
      <c r="AX2061" s="1">
        <f t="shared" si="389"/>
        <v>0</v>
      </c>
    </row>
    <row r="2062" spans="1:50" s="1" customFormat="1" ht="24.95" customHeight="1" outlineLevel="3" x14ac:dyDescent="0.2">
      <c r="A2062" s="11"/>
      <c r="B2062" s="12">
        <v>440</v>
      </c>
      <c r="C2062" s="12">
        <v>590</v>
      </c>
      <c r="D2062" s="12">
        <v>23995</v>
      </c>
      <c r="E2062" s="13" t="s">
        <v>161</v>
      </c>
      <c r="F2062" s="13" t="s">
        <v>6705</v>
      </c>
      <c r="G2062" s="13" t="s">
        <v>163</v>
      </c>
      <c r="H2062" s="13" t="s">
        <v>164</v>
      </c>
      <c r="I2062" s="12">
        <v>2025</v>
      </c>
      <c r="J2062" s="13" t="s">
        <v>6706</v>
      </c>
      <c r="K2062" s="12">
        <v>9785961474442</v>
      </c>
      <c r="L2062" s="13" t="s">
        <v>6707</v>
      </c>
      <c r="M2062" s="12">
        <v>32</v>
      </c>
      <c r="N2062" s="14">
        <v>0.25</v>
      </c>
      <c r="O2062" s="12">
        <v>200</v>
      </c>
      <c r="P2062" s="12">
        <v>200</v>
      </c>
      <c r="Q2062" s="12">
        <v>15</v>
      </c>
      <c r="R2062" s="13" t="s">
        <v>167</v>
      </c>
      <c r="S2062" s="13" t="s">
        <v>168</v>
      </c>
      <c r="T2062" s="15">
        <v>1500</v>
      </c>
      <c r="U2062" s="13" t="s">
        <v>52</v>
      </c>
      <c r="V2062" s="13" t="s">
        <v>64</v>
      </c>
      <c r="W2062" s="12">
        <v>10</v>
      </c>
      <c r="X2062" s="33" t="str">
        <f>HYPERLINK("https://www.alpinabook.ru/catalog/book-stomatolog","ссылка на книгу")</f>
        <v>ссылка на книгу</v>
      </c>
      <c r="Y2062" s="34" t="str">
        <f>HYPERLINK("https://api-enni.alpina.ru/FileCertificateProject/757","https://api-enni.alpina.ru/FileCertificateProject/757")</f>
        <v>https://api-enni.alpina.ru/FileCertificateProject/757</v>
      </c>
      <c r="Z2062" s="13" t="s">
        <v>1640</v>
      </c>
      <c r="AT2062" s="1">
        <f t="shared" si="385"/>
        <v>0</v>
      </c>
      <c r="AU2062" s="1">
        <f t="shared" si="386"/>
        <v>0</v>
      </c>
      <c r="AV2062" s="1">
        <f t="shared" si="387"/>
        <v>0</v>
      </c>
      <c r="AW2062" s="1">
        <f t="shared" si="388"/>
        <v>0</v>
      </c>
      <c r="AX2062" s="1">
        <f t="shared" si="389"/>
        <v>0</v>
      </c>
    </row>
    <row r="2063" spans="1:50" s="1" customFormat="1" ht="21.95" customHeight="1" outlineLevel="3" x14ac:dyDescent="0.2">
      <c r="A2063" s="11"/>
      <c r="B2063" s="12">
        <v>440</v>
      </c>
      <c r="C2063" s="12">
        <v>590</v>
      </c>
      <c r="D2063" s="12">
        <v>22557</v>
      </c>
      <c r="E2063" s="13" t="s">
        <v>6708</v>
      </c>
      <c r="F2063" s="13" t="s">
        <v>6709</v>
      </c>
      <c r="G2063" s="13" t="s">
        <v>163</v>
      </c>
      <c r="H2063" s="13" t="s">
        <v>164</v>
      </c>
      <c r="I2063" s="12">
        <v>2025</v>
      </c>
      <c r="J2063" s="13" t="s">
        <v>6710</v>
      </c>
      <c r="K2063" s="12">
        <v>9785961455809</v>
      </c>
      <c r="L2063" s="13" t="s">
        <v>6711</v>
      </c>
      <c r="M2063" s="12">
        <v>32</v>
      </c>
      <c r="N2063" s="14">
        <v>0.24</v>
      </c>
      <c r="O2063" s="12">
        <v>198</v>
      </c>
      <c r="P2063" s="12">
        <v>198</v>
      </c>
      <c r="Q2063" s="12">
        <v>15</v>
      </c>
      <c r="R2063" s="13" t="s">
        <v>167</v>
      </c>
      <c r="S2063" s="13" t="s">
        <v>168</v>
      </c>
      <c r="T2063" s="15">
        <v>1500</v>
      </c>
      <c r="U2063" s="13" t="s">
        <v>52</v>
      </c>
      <c r="V2063" s="13" t="s">
        <v>64</v>
      </c>
      <c r="W2063" s="12">
        <v>10</v>
      </c>
      <c r="X2063" s="33" t="str">
        <f>HYPERLINK("https://www.alpinabook.ru/catalog/book-stroitel","ссылка на книгу")</f>
        <v>ссылка на книгу</v>
      </c>
      <c r="Y2063" s="34" t="str">
        <f>HYPERLINK("","")</f>
        <v/>
      </c>
      <c r="Z2063" s="13" t="s">
        <v>1640</v>
      </c>
      <c r="AT2063" s="1">
        <f t="shared" si="385"/>
        <v>0</v>
      </c>
      <c r="AU2063" s="1">
        <f t="shared" si="386"/>
        <v>0</v>
      </c>
      <c r="AV2063" s="1">
        <f t="shared" si="387"/>
        <v>0</v>
      </c>
      <c r="AW2063" s="1">
        <f t="shared" si="388"/>
        <v>0</v>
      </c>
      <c r="AX2063" s="1">
        <f t="shared" si="389"/>
        <v>0</v>
      </c>
    </row>
    <row r="2064" spans="1:50" s="1" customFormat="1" ht="21.95" customHeight="1" outlineLevel="3" x14ac:dyDescent="0.2">
      <c r="A2064" s="11"/>
      <c r="B2064" s="12">
        <v>440</v>
      </c>
      <c r="C2064" s="12">
        <v>590</v>
      </c>
      <c r="D2064" s="12">
        <v>22558</v>
      </c>
      <c r="E2064" s="13" t="s">
        <v>161</v>
      </c>
      <c r="F2064" s="13" t="s">
        <v>6712</v>
      </c>
      <c r="G2064" s="13" t="s">
        <v>163</v>
      </c>
      <c r="H2064" s="13" t="s">
        <v>164</v>
      </c>
      <c r="I2064" s="12">
        <v>2025</v>
      </c>
      <c r="J2064" s="13" t="s">
        <v>6713</v>
      </c>
      <c r="K2064" s="12">
        <v>9785961455854</v>
      </c>
      <c r="L2064" s="13" t="s">
        <v>6714</v>
      </c>
      <c r="M2064" s="12">
        <v>32</v>
      </c>
      <c r="N2064" s="14">
        <v>0.27</v>
      </c>
      <c r="O2064" s="12">
        <v>198</v>
      </c>
      <c r="P2064" s="12">
        <v>199</v>
      </c>
      <c r="Q2064" s="12">
        <v>15</v>
      </c>
      <c r="R2064" s="13" t="s">
        <v>167</v>
      </c>
      <c r="S2064" s="13" t="s">
        <v>168</v>
      </c>
      <c r="T2064" s="15">
        <v>1500</v>
      </c>
      <c r="U2064" s="13" t="s">
        <v>52</v>
      </c>
      <c r="V2064" s="13" t="s">
        <v>64</v>
      </c>
      <c r="W2064" s="12">
        <v>10</v>
      </c>
      <c r="X2064" s="33" t="str">
        <f>HYPERLINK("https://www.alpinabook.ru/catalog/book-shef-povar","ссылка на книгу")</f>
        <v>ссылка на книгу</v>
      </c>
      <c r="Y2064" s="34" t="str">
        <f>HYPERLINK("","")</f>
        <v/>
      </c>
      <c r="Z2064" s="13" t="s">
        <v>132</v>
      </c>
      <c r="AT2064" s="1">
        <f t="shared" si="385"/>
        <v>0</v>
      </c>
      <c r="AU2064" s="1">
        <f t="shared" si="386"/>
        <v>0</v>
      </c>
      <c r="AV2064" s="1">
        <f t="shared" si="387"/>
        <v>0</v>
      </c>
      <c r="AW2064" s="1">
        <f t="shared" si="388"/>
        <v>0</v>
      </c>
      <c r="AX2064" s="1">
        <f t="shared" si="389"/>
        <v>0</v>
      </c>
    </row>
    <row r="2065" spans="1:50" ht="11.1" customHeight="1" outlineLevel="2" x14ac:dyDescent="0.2">
      <c r="A2065" s="40" t="s">
        <v>6715</v>
      </c>
      <c r="B2065" s="40"/>
      <c r="C2065" s="40"/>
      <c r="D2065" s="40"/>
      <c r="E2065" s="40"/>
      <c r="F2065" s="40"/>
      <c r="G2065" s="40"/>
      <c r="H2065" s="40"/>
      <c r="I2065" s="40"/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20"/>
    </row>
    <row r="2066" spans="1:50" s="1" customFormat="1" ht="24.95" customHeight="1" outlineLevel="3" x14ac:dyDescent="0.2">
      <c r="A2066" s="11"/>
      <c r="B2066" s="12">
        <v>440</v>
      </c>
      <c r="C2066" s="12">
        <v>440</v>
      </c>
      <c r="D2066" s="12">
        <v>23924</v>
      </c>
      <c r="E2066" s="13" t="s">
        <v>6716</v>
      </c>
      <c r="F2066" s="13" t="s">
        <v>6717</v>
      </c>
      <c r="G2066" s="13" t="s">
        <v>163</v>
      </c>
      <c r="H2066" s="13" t="s">
        <v>164</v>
      </c>
      <c r="I2066" s="12">
        <v>2022</v>
      </c>
      <c r="J2066" s="13" t="s">
        <v>6718</v>
      </c>
      <c r="K2066" s="12">
        <v>9785961474183</v>
      </c>
      <c r="L2066" s="13" t="s">
        <v>6719</v>
      </c>
      <c r="M2066" s="12">
        <v>96</v>
      </c>
      <c r="N2066" s="14">
        <v>0.32</v>
      </c>
      <c r="O2066" s="12">
        <v>168</v>
      </c>
      <c r="P2066" s="12">
        <v>242</v>
      </c>
      <c r="Q2066" s="12">
        <v>12</v>
      </c>
      <c r="R2066" s="13" t="s">
        <v>94</v>
      </c>
      <c r="S2066" s="13"/>
      <c r="T2066" s="15">
        <v>3000</v>
      </c>
      <c r="U2066" s="13" t="s">
        <v>52</v>
      </c>
      <c r="V2066" s="13" t="s">
        <v>269</v>
      </c>
      <c r="W2066" s="12">
        <v>10</v>
      </c>
      <c r="X2066" s="33" t="str">
        <f>HYPERLINK("https://www.alpinabook.ru/catalog/book-ogurchik-i-fasol-stella-bella","ссылка на книгу")</f>
        <v>ссылка на книгу</v>
      </c>
      <c r="Y2066" s="34" t="str">
        <f>HYPERLINK("https://api-enni.alpina.ru/FileCertificateProject/214","https://api-enni.alpina.ru/FileCertificateProject/214")</f>
        <v>https://api-enni.alpina.ru/FileCertificateProject/214</v>
      </c>
      <c r="Z2066" s="13"/>
      <c r="AT2066" s="1">
        <f>IF($A2066&lt;&gt;0,1,0)</f>
        <v>0</v>
      </c>
      <c r="AU2066" s="1">
        <f>$A2066*$B2066</f>
        <v>0</v>
      </c>
      <c r="AV2066" s="1">
        <f>$A2066*$N2066</f>
        <v>0</v>
      </c>
      <c r="AW2066" s="1">
        <f>IF($Q2066=0,0,INT($A2066/$Q2066))</f>
        <v>0</v>
      </c>
      <c r="AX2066" s="1">
        <f>$A2066-$AW2066*$Q2066</f>
        <v>0</v>
      </c>
    </row>
    <row r="2067" spans="1:50" s="1" customFormat="1" ht="24.95" customHeight="1" outlineLevel="3" x14ac:dyDescent="0.2">
      <c r="A2067" s="11"/>
      <c r="B2067" s="12">
        <v>440</v>
      </c>
      <c r="C2067" s="12">
        <v>440</v>
      </c>
      <c r="D2067" s="12">
        <v>23925</v>
      </c>
      <c r="E2067" s="13" t="s">
        <v>6716</v>
      </c>
      <c r="F2067" s="13" t="s">
        <v>6720</v>
      </c>
      <c r="G2067" s="13" t="s">
        <v>163</v>
      </c>
      <c r="H2067" s="13" t="s">
        <v>164</v>
      </c>
      <c r="I2067" s="12">
        <v>2022</v>
      </c>
      <c r="J2067" s="13" t="s">
        <v>6721</v>
      </c>
      <c r="K2067" s="12">
        <v>9785961474497</v>
      </c>
      <c r="L2067" s="13" t="s">
        <v>6722</v>
      </c>
      <c r="M2067" s="12">
        <v>94</v>
      </c>
      <c r="N2067" s="14">
        <v>0.32</v>
      </c>
      <c r="O2067" s="12">
        <v>168</v>
      </c>
      <c r="P2067" s="12">
        <v>242</v>
      </c>
      <c r="Q2067" s="12">
        <v>14</v>
      </c>
      <c r="R2067" s="13" t="s">
        <v>94</v>
      </c>
      <c r="S2067" s="13"/>
      <c r="T2067" s="15">
        <v>3000</v>
      </c>
      <c r="U2067" s="13" t="s">
        <v>52</v>
      </c>
      <c r="V2067" s="13" t="s">
        <v>269</v>
      </c>
      <c r="W2067" s="12">
        <v>10</v>
      </c>
      <c r="X2067" s="33" t="str">
        <f>HYPERLINK("https://www.alpinabook.ru/catalog/book-ogurchik-i-fasol-otpusk","ссылка на книгу")</f>
        <v>ссылка на книгу</v>
      </c>
      <c r="Y2067" s="34" t="str">
        <f>HYPERLINK("https://api-enni.alpina.ru/FileCertificateProject/678","https://api-enni.alpina.ru/FileCertificateProject/678")</f>
        <v>https://api-enni.alpina.ru/FileCertificateProject/678</v>
      </c>
      <c r="Z2067" s="13"/>
      <c r="AT2067" s="1">
        <f>IF($A2067&lt;&gt;0,1,0)</f>
        <v>0</v>
      </c>
      <c r="AU2067" s="1">
        <f>$A2067*$B2067</f>
        <v>0</v>
      </c>
      <c r="AV2067" s="1">
        <f>$A2067*$N2067</f>
        <v>0</v>
      </c>
      <c r="AW2067" s="1">
        <f>IF($Q2067=0,0,INT($A2067/$Q2067))</f>
        <v>0</v>
      </c>
      <c r="AX2067" s="1">
        <f>$A2067-$AW2067*$Q2067</f>
        <v>0</v>
      </c>
    </row>
    <row r="2068" spans="1:50" ht="11.1" customHeight="1" outlineLevel="2" x14ac:dyDescent="0.2">
      <c r="A2068" s="40" t="s">
        <v>6723</v>
      </c>
      <c r="B2068" s="40"/>
      <c r="C2068" s="40"/>
      <c r="D2068" s="40"/>
      <c r="E2068" s="40"/>
      <c r="F2068" s="40"/>
      <c r="G2068" s="40"/>
      <c r="H2068" s="40"/>
      <c r="I2068" s="40"/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20"/>
    </row>
    <row r="2069" spans="1:50" s="1" customFormat="1" ht="24.95" customHeight="1" outlineLevel="3" x14ac:dyDescent="0.2">
      <c r="A2069" s="11"/>
      <c r="B2069" s="15">
        <v>1700</v>
      </c>
      <c r="C2069" s="15">
        <v>1700</v>
      </c>
      <c r="D2069" s="12">
        <v>22275</v>
      </c>
      <c r="E2069" s="13" t="s">
        <v>6724</v>
      </c>
      <c r="F2069" s="13" t="s">
        <v>6725</v>
      </c>
      <c r="G2069" s="13" t="s">
        <v>163</v>
      </c>
      <c r="H2069" s="13" t="s">
        <v>40</v>
      </c>
      <c r="I2069" s="12">
        <v>2021</v>
      </c>
      <c r="J2069" s="13" t="s">
        <v>6726</v>
      </c>
      <c r="K2069" s="12">
        <v>9785961445756</v>
      </c>
      <c r="L2069" s="13" t="s">
        <v>6727</v>
      </c>
      <c r="M2069" s="12">
        <v>32</v>
      </c>
      <c r="N2069" s="14">
        <v>0.9</v>
      </c>
      <c r="O2069" s="12">
        <v>210</v>
      </c>
      <c r="P2069" s="12">
        <v>290</v>
      </c>
      <c r="Q2069" s="12">
        <v>15</v>
      </c>
      <c r="R2069" s="13" t="s">
        <v>300</v>
      </c>
      <c r="S2069" s="13" t="s">
        <v>6728</v>
      </c>
      <c r="T2069" s="15">
        <v>3000</v>
      </c>
      <c r="U2069" s="13" t="s">
        <v>44</v>
      </c>
      <c r="V2069" s="13" t="s">
        <v>269</v>
      </c>
      <c r="W2069" s="12">
        <v>20</v>
      </c>
      <c r="X2069" s="33" t="str">
        <f>HYPERLINK("https://www.alpinabook.ru/catalog/book-steam-matematika","ссылка на книгу")</f>
        <v>ссылка на книгу</v>
      </c>
      <c r="Y2069" s="34" t="str">
        <f>HYPERLINK("https://api-enni.alpina.ru/FileCertificateProject/345","https://api-enni.alpina.ru/FileCertificateProject/345")</f>
        <v>https://api-enni.alpina.ru/FileCertificateProject/345</v>
      </c>
      <c r="Z2069" s="13"/>
      <c r="AT2069" s="1">
        <f t="shared" ref="AT2069:AT2075" si="390">IF($A2069&lt;&gt;0,1,0)</f>
        <v>0</v>
      </c>
      <c r="AU2069" s="1">
        <f t="shared" ref="AU2069:AU2075" si="391">$A2069*$B2069</f>
        <v>0</v>
      </c>
      <c r="AV2069" s="1">
        <f t="shared" ref="AV2069:AV2075" si="392">$A2069*$N2069</f>
        <v>0</v>
      </c>
      <c r="AW2069" s="1">
        <f t="shared" ref="AW2069:AW2075" si="393">IF($Q2069=0,0,INT($A2069/$Q2069))</f>
        <v>0</v>
      </c>
      <c r="AX2069" s="1">
        <f t="shared" ref="AX2069:AX2075" si="394">$A2069-$AW2069*$Q2069</f>
        <v>0</v>
      </c>
    </row>
    <row r="2070" spans="1:50" s="1" customFormat="1" ht="24.95" customHeight="1" outlineLevel="3" x14ac:dyDescent="0.2">
      <c r="A2070" s="11"/>
      <c r="B2070" s="15">
        <v>1590</v>
      </c>
      <c r="C2070" s="15">
        <v>1590</v>
      </c>
      <c r="D2070" s="12">
        <v>7931</v>
      </c>
      <c r="E2070" s="13" t="s">
        <v>6729</v>
      </c>
      <c r="F2070" s="13" t="s">
        <v>6730</v>
      </c>
      <c r="G2070" s="13" t="s">
        <v>163</v>
      </c>
      <c r="H2070" s="13" t="s">
        <v>40</v>
      </c>
      <c r="I2070" s="12">
        <v>2020</v>
      </c>
      <c r="J2070" s="13" t="s">
        <v>6731</v>
      </c>
      <c r="K2070" s="12">
        <v>9785961471274</v>
      </c>
      <c r="L2070" s="13" t="s">
        <v>6732</v>
      </c>
      <c r="M2070" s="12">
        <v>24</v>
      </c>
      <c r="N2070" s="14">
        <v>0.78</v>
      </c>
      <c r="O2070" s="12">
        <v>275</v>
      </c>
      <c r="P2070" s="12">
        <v>392</v>
      </c>
      <c r="Q2070" s="12">
        <v>10</v>
      </c>
      <c r="R2070" s="13" t="s">
        <v>300</v>
      </c>
      <c r="S2070" s="13"/>
      <c r="T2070" s="15">
        <v>2000</v>
      </c>
      <c r="U2070" s="13" t="s">
        <v>52</v>
      </c>
      <c r="V2070" s="13" t="s">
        <v>269</v>
      </c>
      <c r="W2070" s="12">
        <v>10</v>
      </c>
      <c r="X2070" s="33" t="str">
        <f>HYPERLINK("https://www.alpinabook.ru/catalog/book-0","ссылка на книгу")</f>
        <v>ссылка на книгу</v>
      </c>
      <c r="Y2070" s="34" t="str">
        <f>HYPERLINK("https://api-enni.alpina.ru/FileCertificateProject/6","https://api-enni.alpina.ru/FileCertificateProject/6")</f>
        <v>https://api-enni.alpina.ru/FileCertificateProject/6</v>
      </c>
      <c r="Z2070" s="13"/>
      <c r="AT2070" s="1">
        <f t="shared" si="390"/>
        <v>0</v>
      </c>
      <c r="AU2070" s="1">
        <f t="shared" si="391"/>
        <v>0</v>
      </c>
      <c r="AV2070" s="1">
        <f t="shared" si="392"/>
        <v>0</v>
      </c>
      <c r="AW2070" s="1">
        <f t="shared" si="393"/>
        <v>0</v>
      </c>
      <c r="AX2070" s="1">
        <f t="shared" si="394"/>
        <v>0</v>
      </c>
    </row>
    <row r="2071" spans="1:50" s="1" customFormat="1" ht="24.95" customHeight="1" outlineLevel="3" x14ac:dyDescent="0.2">
      <c r="A2071" s="11"/>
      <c r="B2071" s="12">
        <v>950</v>
      </c>
      <c r="C2071" s="12">
        <v>950</v>
      </c>
      <c r="D2071" s="12">
        <v>22562</v>
      </c>
      <c r="E2071" s="13" t="s">
        <v>6733</v>
      </c>
      <c r="F2071" s="13" t="s">
        <v>6734</v>
      </c>
      <c r="G2071" s="13" t="s">
        <v>163</v>
      </c>
      <c r="H2071" s="13" t="s">
        <v>40</v>
      </c>
      <c r="I2071" s="12">
        <v>2022</v>
      </c>
      <c r="J2071" s="13" t="s">
        <v>6735</v>
      </c>
      <c r="K2071" s="12">
        <v>9785961480023</v>
      </c>
      <c r="L2071" s="13" t="s">
        <v>6736</v>
      </c>
      <c r="M2071" s="12">
        <v>252</v>
      </c>
      <c r="N2071" s="14">
        <v>0.8</v>
      </c>
      <c r="O2071" s="12">
        <v>205</v>
      </c>
      <c r="P2071" s="12">
        <v>254</v>
      </c>
      <c r="Q2071" s="12">
        <v>5</v>
      </c>
      <c r="R2071" s="13" t="s">
        <v>300</v>
      </c>
      <c r="S2071" s="13"/>
      <c r="T2071" s="15">
        <v>2000</v>
      </c>
      <c r="U2071" s="13" t="s">
        <v>44</v>
      </c>
      <c r="V2071" s="13" t="s">
        <v>59</v>
      </c>
      <c r="W2071" s="12">
        <v>10</v>
      </c>
      <c r="X2071" s="33" t="str">
        <f>HYPERLINK("https://www.alpinabook.ru/catalog/book-bolshaya-kniga-marsa","ссылка на книгу")</f>
        <v>ссылка на книгу</v>
      </c>
      <c r="Y2071" s="34" t="str">
        <f>HYPERLINK("https://api-enni.alpina.ru/FileCertificateProject/576","https://api-enni.alpina.ru/FileCertificateProject/576")</f>
        <v>https://api-enni.alpina.ru/FileCertificateProject/576</v>
      </c>
      <c r="Z2071" s="13"/>
      <c r="AT2071" s="1">
        <f t="shared" si="390"/>
        <v>0</v>
      </c>
      <c r="AU2071" s="1">
        <f t="shared" si="391"/>
        <v>0</v>
      </c>
      <c r="AV2071" s="1">
        <f t="shared" si="392"/>
        <v>0</v>
      </c>
      <c r="AW2071" s="1">
        <f t="shared" si="393"/>
        <v>0</v>
      </c>
      <c r="AX2071" s="1">
        <f t="shared" si="394"/>
        <v>0</v>
      </c>
    </row>
    <row r="2072" spans="1:50" s="1" customFormat="1" ht="24.95" customHeight="1" outlineLevel="3" x14ac:dyDescent="0.2">
      <c r="A2072" s="26"/>
      <c r="B2072" s="27">
        <v>440</v>
      </c>
      <c r="C2072" s="27">
        <v>690</v>
      </c>
      <c r="D2072" s="27">
        <v>7899</v>
      </c>
      <c r="E2072" s="29" t="s">
        <v>6737</v>
      </c>
      <c r="F2072" s="29" t="s">
        <v>6738</v>
      </c>
      <c r="G2072" s="29" t="s">
        <v>163</v>
      </c>
      <c r="H2072" s="29"/>
      <c r="I2072" s="27">
        <v>2019</v>
      </c>
      <c r="J2072" s="29" t="s">
        <v>6739</v>
      </c>
      <c r="K2072" s="27">
        <v>9785961466386</v>
      </c>
      <c r="L2072" s="29" t="s">
        <v>6740</v>
      </c>
      <c r="M2072" s="27">
        <v>28</v>
      </c>
      <c r="N2072" s="30">
        <v>0.53</v>
      </c>
      <c r="O2072" s="27">
        <v>225</v>
      </c>
      <c r="P2072" s="27">
        <v>288</v>
      </c>
      <c r="Q2072" s="27">
        <v>15</v>
      </c>
      <c r="R2072" s="29" t="s">
        <v>167</v>
      </c>
      <c r="S2072" s="29"/>
      <c r="T2072" s="28">
        <v>3000</v>
      </c>
      <c r="U2072" s="29" t="s">
        <v>52</v>
      </c>
      <c r="V2072" s="29" t="s">
        <v>5626</v>
      </c>
      <c r="W2072" s="27">
        <v>10</v>
      </c>
      <c r="X2072" s="37" t="str">
        <f>HYPERLINK("https://www.alpinabook.ru/catalog/book-402659","ссылка на книгу")</f>
        <v>ссылка на книгу</v>
      </c>
      <c r="Y2072" s="38" t="str">
        <f>HYPERLINK("https://api-enni.alpina.ru/FileCertificateProject/328","https://api-enni.alpina.ru/FileCertificateProject/328")</f>
        <v>https://api-enni.alpina.ru/FileCertificateProject/328</v>
      </c>
      <c r="Z2072" s="29"/>
      <c r="AT2072" s="1">
        <f t="shared" si="390"/>
        <v>0</v>
      </c>
      <c r="AU2072" s="1">
        <f t="shared" si="391"/>
        <v>0</v>
      </c>
      <c r="AV2072" s="1">
        <f t="shared" si="392"/>
        <v>0</v>
      </c>
      <c r="AW2072" s="1">
        <f t="shared" si="393"/>
        <v>0</v>
      </c>
      <c r="AX2072" s="1">
        <f t="shared" si="394"/>
        <v>0</v>
      </c>
    </row>
    <row r="2073" spans="1:50" s="1" customFormat="1" ht="21.95" customHeight="1" outlineLevel="3" x14ac:dyDescent="0.2">
      <c r="A2073" s="11"/>
      <c r="B2073" s="12">
        <v>400</v>
      </c>
      <c r="C2073" s="12">
        <v>400</v>
      </c>
      <c r="D2073" s="13" t="s">
        <v>6741</v>
      </c>
      <c r="E2073" s="13" t="s">
        <v>6742</v>
      </c>
      <c r="F2073" s="13" t="s">
        <v>6743</v>
      </c>
      <c r="G2073" s="13" t="s">
        <v>6744</v>
      </c>
      <c r="H2073" s="13" t="s">
        <v>434</v>
      </c>
      <c r="I2073" s="12">
        <v>2021</v>
      </c>
      <c r="J2073" s="13" t="s">
        <v>6745</v>
      </c>
      <c r="K2073" s="12">
        <v>9785907471115</v>
      </c>
      <c r="L2073" s="13" t="s">
        <v>6746</v>
      </c>
      <c r="M2073" s="12">
        <v>48</v>
      </c>
      <c r="N2073" s="14">
        <v>0.24</v>
      </c>
      <c r="O2073" s="12">
        <v>28</v>
      </c>
      <c r="P2073" s="12">
        <v>22</v>
      </c>
      <c r="Q2073" s="12">
        <v>18</v>
      </c>
      <c r="R2073" s="13" t="s">
        <v>6747</v>
      </c>
      <c r="S2073" s="13"/>
      <c r="T2073" s="15">
        <v>2850</v>
      </c>
      <c r="U2073" s="13" t="s">
        <v>52</v>
      </c>
      <c r="V2073" s="13" t="s">
        <v>269</v>
      </c>
      <c r="W2073" s="12">
        <v>10</v>
      </c>
      <c r="X2073" s="33" t="str">
        <f>HYPERLINK("https://alpinabook.ru/catalog/book-zelyenaya-planeta/","ссылка на книгу")</f>
        <v>ссылка на книгу</v>
      </c>
      <c r="Y2073" s="34" t="str">
        <f>HYPERLINK("","")</f>
        <v/>
      </c>
      <c r="Z2073" s="13"/>
      <c r="AT2073" s="1">
        <f t="shared" si="390"/>
        <v>0</v>
      </c>
      <c r="AU2073" s="1">
        <f t="shared" si="391"/>
        <v>0</v>
      </c>
      <c r="AV2073" s="1">
        <f t="shared" si="392"/>
        <v>0</v>
      </c>
      <c r="AW2073" s="1">
        <f t="shared" si="393"/>
        <v>0</v>
      </c>
      <c r="AX2073" s="1">
        <f t="shared" si="394"/>
        <v>0</v>
      </c>
    </row>
    <row r="2074" spans="1:50" s="1" customFormat="1" ht="24.95" customHeight="1" outlineLevel="3" x14ac:dyDescent="0.2">
      <c r="A2074" s="26"/>
      <c r="B2074" s="27">
        <v>490</v>
      </c>
      <c r="C2074" s="27">
        <v>740</v>
      </c>
      <c r="D2074" s="27">
        <v>17881</v>
      </c>
      <c r="E2074" s="29" t="s">
        <v>6748</v>
      </c>
      <c r="F2074" s="29" t="s">
        <v>6749</v>
      </c>
      <c r="G2074" s="29" t="s">
        <v>163</v>
      </c>
      <c r="H2074" s="29"/>
      <c r="I2074" s="27">
        <v>2021</v>
      </c>
      <c r="J2074" s="29" t="s">
        <v>6750</v>
      </c>
      <c r="K2074" s="27">
        <v>9785961432305</v>
      </c>
      <c r="L2074" s="29" t="s">
        <v>6751</v>
      </c>
      <c r="M2074" s="27">
        <v>80</v>
      </c>
      <c r="N2074" s="30">
        <v>0.5</v>
      </c>
      <c r="O2074" s="27">
        <v>225</v>
      </c>
      <c r="P2074" s="27">
        <v>288</v>
      </c>
      <c r="Q2074" s="27">
        <v>12</v>
      </c>
      <c r="R2074" s="29" t="s">
        <v>167</v>
      </c>
      <c r="S2074" s="29"/>
      <c r="T2074" s="28">
        <v>3000</v>
      </c>
      <c r="U2074" s="29" t="s">
        <v>52</v>
      </c>
      <c r="V2074" s="29" t="s">
        <v>269</v>
      </c>
      <c r="W2074" s="27">
        <v>10</v>
      </c>
      <c r="X2074" s="37" t="str">
        <f>HYPERLINK("https://www.alpinabook.ru/catalog/book-659583","ссылка на книгу")</f>
        <v>ссылка на книгу</v>
      </c>
      <c r="Y2074" s="38" t="str">
        <f>HYPERLINK("https://api-enni.alpina.ru/FileCertificateProject/11","https://api-enni.alpina.ru/FileCertificateProject/11")</f>
        <v>https://api-enni.alpina.ru/FileCertificateProject/11</v>
      </c>
      <c r="Z2074" s="29"/>
      <c r="AT2074" s="1">
        <f t="shared" si="390"/>
        <v>0</v>
      </c>
      <c r="AU2074" s="1">
        <f t="shared" si="391"/>
        <v>0</v>
      </c>
      <c r="AV2074" s="1">
        <f t="shared" si="392"/>
        <v>0</v>
      </c>
      <c r="AW2074" s="1">
        <f t="shared" si="393"/>
        <v>0</v>
      </c>
      <c r="AX2074" s="1">
        <f t="shared" si="394"/>
        <v>0</v>
      </c>
    </row>
    <row r="2075" spans="1:50" s="1" customFormat="1" ht="21.95" customHeight="1" outlineLevel="3" x14ac:dyDescent="0.2">
      <c r="A2075" s="11"/>
      <c r="B2075" s="12">
        <v>400</v>
      </c>
      <c r="C2075" s="12">
        <v>400</v>
      </c>
      <c r="D2075" s="13" t="s">
        <v>6752</v>
      </c>
      <c r="E2075" s="13" t="s">
        <v>6753</v>
      </c>
      <c r="F2075" s="13" t="s">
        <v>6754</v>
      </c>
      <c r="G2075" s="13" t="s">
        <v>6744</v>
      </c>
      <c r="H2075" s="13" t="s">
        <v>434</v>
      </c>
      <c r="I2075" s="12">
        <v>2021</v>
      </c>
      <c r="J2075" s="13" t="s">
        <v>6755</v>
      </c>
      <c r="K2075" s="12">
        <v>9785907471122</v>
      </c>
      <c r="L2075" s="13" t="s">
        <v>6756</v>
      </c>
      <c r="M2075" s="12">
        <v>48</v>
      </c>
      <c r="N2075" s="14">
        <v>0.24</v>
      </c>
      <c r="O2075" s="12">
        <v>28</v>
      </c>
      <c r="P2075" s="12">
        <v>22</v>
      </c>
      <c r="Q2075" s="12">
        <v>18</v>
      </c>
      <c r="R2075" s="13" t="s">
        <v>6747</v>
      </c>
      <c r="S2075" s="13"/>
      <c r="T2075" s="15">
        <v>2850</v>
      </c>
      <c r="U2075" s="13" t="s">
        <v>52</v>
      </c>
      <c r="V2075" s="13" t="s">
        <v>269</v>
      </c>
      <c r="W2075" s="12">
        <v>10</v>
      </c>
      <c r="X2075" s="33" t="str">
        <f>HYPERLINK("https://alpinabook.ru/catalog/book-elektricheskiy-tok/","ссылка на книгу")</f>
        <v>ссылка на книгу</v>
      </c>
      <c r="Y2075" s="34" t="str">
        <f>HYPERLINK("","")</f>
        <v/>
      </c>
      <c r="Z2075" s="13"/>
      <c r="AT2075" s="1">
        <f t="shared" si="390"/>
        <v>0</v>
      </c>
      <c r="AU2075" s="1">
        <f t="shared" si="391"/>
        <v>0</v>
      </c>
      <c r="AV2075" s="1">
        <f t="shared" si="392"/>
        <v>0</v>
      </c>
      <c r="AW2075" s="1">
        <f t="shared" si="393"/>
        <v>0</v>
      </c>
      <c r="AX2075" s="1">
        <f t="shared" si="394"/>
        <v>0</v>
      </c>
    </row>
    <row r="2076" spans="1:50" ht="11.1" customHeight="1" outlineLevel="2" x14ac:dyDescent="0.2">
      <c r="A2076" s="40" t="s">
        <v>6757</v>
      </c>
      <c r="B2076" s="40"/>
      <c r="C2076" s="40"/>
      <c r="D2076" s="40"/>
      <c r="E2076" s="40"/>
      <c r="F2076" s="40"/>
      <c r="G2076" s="40"/>
      <c r="H2076" s="40"/>
      <c r="I2076" s="40"/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20"/>
    </row>
    <row r="2077" spans="1:50" s="1" customFormat="1" ht="24.95" customHeight="1" outlineLevel="3" x14ac:dyDescent="0.2">
      <c r="A2077" s="11"/>
      <c r="B2077" s="12">
        <v>790</v>
      </c>
      <c r="C2077" s="15">
        <v>1190</v>
      </c>
      <c r="D2077" s="12">
        <v>23384</v>
      </c>
      <c r="E2077" s="13" t="s">
        <v>5587</v>
      </c>
      <c r="F2077" s="13" t="s">
        <v>6758</v>
      </c>
      <c r="G2077" s="13" t="s">
        <v>163</v>
      </c>
      <c r="H2077" s="13"/>
      <c r="I2077" s="12">
        <v>2024</v>
      </c>
      <c r="J2077" s="13" t="s">
        <v>6759</v>
      </c>
      <c r="K2077" s="12">
        <v>9785961459630</v>
      </c>
      <c r="L2077" s="13" t="s">
        <v>6760</v>
      </c>
      <c r="M2077" s="12">
        <v>136</v>
      </c>
      <c r="N2077" s="14">
        <v>0.61</v>
      </c>
      <c r="O2077" s="12">
        <v>210</v>
      </c>
      <c r="P2077" s="12">
        <v>270</v>
      </c>
      <c r="Q2077" s="12">
        <v>9</v>
      </c>
      <c r="R2077" s="13" t="s">
        <v>300</v>
      </c>
      <c r="S2077" s="13" t="s">
        <v>6761</v>
      </c>
      <c r="T2077" s="15">
        <v>3000</v>
      </c>
      <c r="U2077" s="13" t="s">
        <v>52</v>
      </c>
      <c r="V2077" s="13" t="s">
        <v>269</v>
      </c>
      <c r="W2077" s="12">
        <v>10</v>
      </c>
      <c r="X2077" s="33" t="str">
        <f>HYPERLINK("https://www.alpinabook.ru/catalog/book-delo-o-propavshey-uchitelnitse","ссылка на книгу")</f>
        <v>ссылка на книгу</v>
      </c>
      <c r="Y2077" s="34" t="str">
        <f>HYPERLINK("https://api-enni.alpina.ru/FileCertificateProject/17","https://api-enni.alpina.ru/FileCertificateProject/17")</f>
        <v>https://api-enni.alpina.ru/FileCertificateProject/17</v>
      </c>
      <c r="Z2077" s="13"/>
      <c r="AT2077" s="1">
        <f>IF($A2077&lt;&gt;0,1,0)</f>
        <v>0</v>
      </c>
      <c r="AU2077" s="1">
        <f>$A2077*$B2077</f>
        <v>0</v>
      </c>
      <c r="AV2077" s="1">
        <f>$A2077*$N2077</f>
        <v>0</v>
      </c>
      <c r="AW2077" s="1">
        <f>IF($Q2077=0,0,INT($A2077/$Q2077))</f>
        <v>0</v>
      </c>
      <c r="AX2077" s="1">
        <f>$A2077-$AW2077*$Q2077</f>
        <v>0</v>
      </c>
    </row>
    <row r="2078" spans="1:50" ht="11.1" customHeight="1" outlineLevel="2" x14ac:dyDescent="0.2">
      <c r="A2078" s="40" t="s">
        <v>6762</v>
      </c>
      <c r="B2078" s="40"/>
      <c r="C2078" s="40"/>
      <c r="D2078" s="40"/>
      <c r="E2078" s="40"/>
      <c r="F2078" s="40"/>
      <c r="G2078" s="40"/>
      <c r="H2078" s="40"/>
      <c r="I2078" s="40"/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20"/>
    </row>
    <row r="2079" spans="1:50" s="1" customFormat="1" ht="24.95" customHeight="1" outlineLevel="3" x14ac:dyDescent="0.2">
      <c r="A2079" s="26"/>
      <c r="B2079" s="27">
        <v>490</v>
      </c>
      <c r="C2079" s="27">
        <v>740</v>
      </c>
      <c r="D2079" s="27">
        <v>23306</v>
      </c>
      <c r="E2079" s="29" t="s">
        <v>6763</v>
      </c>
      <c r="F2079" s="29" t="s">
        <v>6764</v>
      </c>
      <c r="G2079" s="29" t="s">
        <v>163</v>
      </c>
      <c r="H2079" s="29" t="s">
        <v>164</v>
      </c>
      <c r="I2079" s="27">
        <v>2022</v>
      </c>
      <c r="J2079" s="29" t="s">
        <v>6765</v>
      </c>
      <c r="K2079" s="27">
        <v>9785961472097</v>
      </c>
      <c r="L2079" s="29" t="s">
        <v>6766</v>
      </c>
      <c r="M2079" s="27">
        <v>56</v>
      </c>
      <c r="N2079" s="30">
        <v>0.19</v>
      </c>
      <c r="O2079" s="27">
        <v>148</v>
      </c>
      <c r="P2079" s="27">
        <v>216</v>
      </c>
      <c r="Q2079" s="27">
        <v>20</v>
      </c>
      <c r="R2079" s="29" t="s">
        <v>43</v>
      </c>
      <c r="S2079" s="29" t="s">
        <v>6767</v>
      </c>
      <c r="T2079" s="28">
        <v>2000</v>
      </c>
      <c r="U2079" s="29" t="s">
        <v>52</v>
      </c>
      <c r="V2079" s="29" t="s">
        <v>269</v>
      </c>
      <c r="W2079" s="27">
        <v>10</v>
      </c>
      <c r="X2079" s="37" t="str">
        <f>HYPERLINK("https://www.alpinabook.ru/catalog/book-znakomtes-ogriki","ссылка на книгу")</f>
        <v>ссылка на книгу</v>
      </c>
      <c r="Y2079" s="38" t="str">
        <f>HYPERLINK("https://api-enni.alpina.ru/FileCertificateProject/174","https://api-enni.alpina.ru/FileCertificateProject/174")</f>
        <v>https://api-enni.alpina.ru/FileCertificateProject/174</v>
      </c>
      <c r="Z2079" s="29"/>
      <c r="AT2079" s="1">
        <f t="shared" ref="AT2079:AT2090" si="395">IF($A2079&lt;&gt;0,1,0)</f>
        <v>0</v>
      </c>
      <c r="AU2079" s="1">
        <f t="shared" ref="AU2079:AU2090" si="396">$A2079*$B2079</f>
        <v>0</v>
      </c>
      <c r="AV2079" s="1">
        <f t="shared" ref="AV2079:AV2090" si="397">$A2079*$N2079</f>
        <v>0</v>
      </c>
      <c r="AW2079" s="1">
        <f t="shared" ref="AW2079:AW2090" si="398">IF($Q2079=0,0,INT($A2079/$Q2079))</f>
        <v>0</v>
      </c>
      <c r="AX2079" s="1">
        <f t="shared" ref="AX2079:AX2090" si="399">$A2079-$AW2079*$Q2079</f>
        <v>0</v>
      </c>
    </row>
    <row r="2080" spans="1:50" s="1" customFormat="1" ht="24.95" customHeight="1" outlineLevel="3" x14ac:dyDescent="0.2">
      <c r="A2080" s="11"/>
      <c r="B2080" s="12">
        <v>490</v>
      </c>
      <c r="C2080" s="12">
        <v>740</v>
      </c>
      <c r="D2080" s="12">
        <v>23398</v>
      </c>
      <c r="E2080" s="13" t="s">
        <v>6763</v>
      </c>
      <c r="F2080" s="13" t="s">
        <v>6768</v>
      </c>
      <c r="G2080" s="13" t="s">
        <v>163</v>
      </c>
      <c r="H2080" s="13" t="s">
        <v>164</v>
      </c>
      <c r="I2080" s="12">
        <v>2021</v>
      </c>
      <c r="J2080" s="13" t="s">
        <v>6769</v>
      </c>
      <c r="K2080" s="12">
        <v>9785961472417</v>
      </c>
      <c r="L2080" s="13" t="s">
        <v>6770</v>
      </c>
      <c r="M2080" s="12">
        <v>32</v>
      </c>
      <c r="N2080" s="14">
        <v>0.25</v>
      </c>
      <c r="O2080" s="12">
        <v>197</v>
      </c>
      <c r="P2080" s="12">
        <v>268</v>
      </c>
      <c r="Q2080" s="12">
        <v>15</v>
      </c>
      <c r="R2080" s="13" t="s">
        <v>300</v>
      </c>
      <c r="S2080" s="13" t="s">
        <v>6767</v>
      </c>
      <c r="T2080" s="15">
        <v>3000</v>
      </c>
      <c r="U2080" s="13" t="s">
        <v>52</v>
      </c>
      <c r="V2080" s="13" t="s">
        <v>64</v>
      </c>
      <c r="W2080" s="12">
        <v>10</v>
      </c>
      <c r="X2080" s="33" t="str">
        <f>HYPERLINK("https://www.alpinabook.ru/catalog/book-724130","ссылка на книгу")</f>
        <v>ссылка на книгу</v>
      </c>
      <c r="Y2080" s="34" t="str">
        <f>HYPERLINK("https://api-enni.alpina.ru/FileCertificateProject/177","https://api-enni.alpina.ru/FileCertificateProject/177")</f>
        <v>https://api-enni.alpina.ru/FileCertificateProject/177</v>
      </c>
      <c r="Z2080" s="13"/>
      <c r="AT2080" s="1">
        <f t="shared" si="395"/>
        <v>0</v>
      </c>
      <c r="AU2080" s="1">
        <f t="shared" si="396"/>
        <v>0</v>
      </c>
      <c r="AV2080" s="1">
        <f t="shared" si="397"/>
        <v>0</v>
      </c>
      <c r="AW2080" s="1">
        <f t="shared" si="398"/>
        <v>0</v>
      </c>
      <c r="AX2080" s="1">
        <f t="shared" si="399"/>
        <v>0</v>
      </c>
    </row>
    <row r="2081" spans="1:50" s="1" customFormat="1" ht="24.95" customHeight="1" outlineLevel="3" x14ac:dyDescent="0.2">
      <c r="A2081" s="11"/>
      <c r="B2081" s="12">
        <v>490</v>
      </c>
      <c r="C2081" s="12">
        <v>490</v>
      </c>
      <c r="D2081" s="12">
        <v>23399</v>
      </c>
      <c r="E2081" s="13" t="s">
        <v>6763</v>
      </c>
      <c r="F2081" s="13" t="s">
        <v>6771</v>
      </c>
      <c r="G2081" s="13" t="s">
        <v>163</v>
      </c>
      <c r="H2081" s="13" t="s">
        <v>164</v>
      </c>
      <c r="I2081" s="12">
        <v>2021</v>
      </c>
      <c r="J2081" s="13" t="s">
        <v>6772</v>
      </c>
      <c r="K2081" s="12">
        <v>9785961472424</v>
      </c>
      <c r="L2081" s="13" t="s">
        <v>6773</v>
      </c>
      <c r="M2081" s="12">
        <v>56</v>
      </c>
      <c r="N2081" s="14">
        <v>0.19</v>
      </c>
      <c r="O2081" s="12">
        <v>146</v>
      </c>
      <c r="P2081" s="12">
        <v>216</v>
      </c>
      <c r="Q2081" s="12">
        <v>20</v>
      </c>
      <c r="R2081" s="13" t="s">
        <v>43</v>
      </c>
      <c r="S2081" s="13" t="s">
        <v>6767</v>
      </c>
      <c r="T2081" s="15">
        <v>3000</v>
      </c>
      <c r="U2081" s="13" t="s">
        <v>52</v>
      </c>
      <c r="V2081" s="13" t="s">
        <v>269</v>
      </c>
      <c r="W2081" s="12">
        <v>10</v>
      </c>
      <c r="X2081" s="33" t="str">
        <f>HYPERLINK("https://www.alpinabook.ru/catalog/book-724136","ссылка на книгу")</f>
        <v>ссылка на книгу</v>
      </c>
      <c r="Y2081" s="34" t="str">
        <f>HYPERLINK("https://api-enni.alpina.ru/FileCertificateProject/178","https://api-enni.alpina.ru/FileCertificateProject/178")</f>
        <v>https://api-enni.alpina.ru/FileCertificateProject/178</v>
      </c>
      <c r="Z2081" s="13"/>
      <c r="AT2081" s="1">
        <f t="shared" si="395"/>
        <v>0</v>
      </c>
      <c r="AU2081" s="1">
        <f t="shared" si="396"/>
        <v>0</v>
      </c>
      <c r="AV2081" s="1">
        <f t="shared" si="397"/>
        <v>0</v>
      </c>
      <c r="AW2081" s="1">
        <f t="shared" si="398"/>
        <v>0</v>
      </c>
      <c r="AX2081" s="1">
        <f t="shared" si="399"/>
        <v>0</v>
      </c>
    </row>
    <row r="2082" spans="1:50" s="1" customFormat="1" ht="24.95" customHeight="1" outlineLevel="3" x14ac:dyDescent="0.2">
      <c r="A2082" s="11"/>
      <c r="B2082" s="12">
        <v>490</v>
      </c>
      <c r="C2082" s="12">
        <v>740</v>
      </c>
      <c r="D2082" s="12">
        <v>23325</v>
      </c>
      <c r="E2082" s="13" t="s">
        <v>6763</v>
      </c>
      <c r="F2082" s="13" t="s">
        <v>6774</v>
      </c>
      <c r="G2082" s="13" t="s">
        <v>163</v>
      </c>
      <c r="H2082" s="13" t="s">
        <v>164</v>
      </c>
      <c r="I2082" s="12">
        <v>2021</v>
      </c>
      <c r="J2082" s="13" t="s">
        <v>6775</v>
      </c>
      <c r="K2082" s="12">
        <v>9785961472141</v>
      </c>
      <c r="L2082" s="13" t="s">
        <v>6776</v>
      </c>
      <c r="M2082" s="12">
        <v>26</v>
      </c>
      <c r="N2082" s="14">
        <v>0.26</v>
      </c>
      <c r="O2082" s="12">
        <v>196</v>
      </c>
      <c r="P2082" s="12">
        <v>269</v>
      </c>
      <c r="Q2082" s="12">
        <v>20</v>
      </c>
      <c r="R2082" s="13" t="s">
        <v>300</v>
      </c>
      <c r="S2082" s="13" t="s">
        <v>6767</v>
      </c>
      <c r="T2082" s="15">
        <v>3000</v>
      </c>
      <c r="U2082" s="13" t="s">
        <v>52</v>
      </c>
      <c r="V2082" s="13" t="s">
        <v>64</v>
      </c>
      <c r="W2082" s="12">
        <v>10</v>
      </c>
      <c r="X2082" s="33" t="str">
        <f>HYPERLINK("https://www.alpinabook.ru/catalog/book-719448","ссылка на книгу")</f>
        <v>ссылка на книгу</v>
      </c>
      <c r="Y2082" s="34" t="str">
        <f>HYPERLINK("https://api-enni.alpina.ru/FileCertificateProject/175","https://api-enni.alpina.ru/FileCertificateProject/175")</f>
        <v>https://api-enni.alpina.ru/FileCertificateProject/175</v>
      </c>
      <c r="Z2082" s="13"/>
      <c r="AT2082" s="1">
        <f t="shared" si="395"/>
        <v>0</v>
      </c>
      <c r="AU2082" s="1">
        <f t="shared" si="396"/>
        <v>0</v>
      </c>
      <c r="AV2082" s="1">
        <f t="shared" si="397"/>
        <v>0</v>
      </c>
      <c r="AW2082" s="1">
        <f t="shared" si="398"/>
        <v>0</v>
      </c>
      <c r="AX2082" s="1">
        <f t="shared" si="399"/>
        <v>0</v>
      </c>
    </row>
    <row r="2083" spans="1:50" s="1" customFormat="1" ht="24.95" customHeight="1" outlineLevel="3" x14ac:dyDescent="0.2">
      <c r="A2083" s="11"/>
      <c r="B2083" s="12">
        <v>490</v>
      </c>
      <c r="C2083" s="12">
        <v>490</v>
      </c>
      <c r="D2083" s="12">
        <v>25121</v>
      </c>
      <c r="E2083" s="13" t="s">
        <v>6763</v>
      </c>
      <c r="F2083" s="13" t="s">
        <v>6777</v>
      </c>
      <c r="G2083" s="13" t="s">
        <v>163</v>
      </c>
      <c r="H2083" s="13" t="s">
        <v>164</v>
      </c>
      <c r="I2083" s="12">
        <v>2022</v>
      </c>
      <c r="J2083" s="13" t="s">
        <v>6778</v>
      </c>
      <c r="K2083" s="12">
        <v>9785961476910</v>
      </c>
      <c r="L2083" s="13" t="s">
        <v>6779</v>
      </c>
      <c r="M2083" s="12">
        <v>56</v>
      </c>
      <c r="N2083" s="14">
        <v>0.2</v>
      </c>
      <c r="O2083" s="12">
        <v>148</v>
      </c>
      <c r="P2083" s="12">
        <v>216</v>
      </c>
      <c r="Q2083" s="12">
        <v>20</v>
      </c>
      <c r="R2083" s="13" t="s">
        <v>43</v>
      </c>
      <c r="S2083" s="13" t="s">
        <v>6767</v>
      </c>
      <c r="T2083" s="15">
        <v>3000</v>
      </c>
      <c r="U2083" s="13" t="s">
        <v>52</v>
      </c>
      <c r="V2083" s="13" t="s">
        <v>269</v>
      </c>
      <c r="W2083" s="12">
        <v>10</v>
      </c>
      <c r="X2083" s="33" t="str">
        <f>HYPERLINK("https://www.alpinabook.ru/catalog/book-ogriki-doistoricheskie","ссылка на книгу")</f>
        <v>ссылка на книгу</v>
      </c>
      <c r="Y2083" s="34" t="str">
        <f>HYPERLINK("https://api-enni.alpina.ru/FileCertificateProject/261","https://api-enni.alpina.ru/FileCertificateProject/261")</f>
        <v>https://api-enni.alpina.ru/FileCertificateProject/261</v>
      </c>
      <c r="Z2083" s="13"/>
      <c r="AT2083" s="1">
        <f t="shared" si="395"/>
        <v>0</v>
      </c>
      <c r="AU2083" s="1">
        <f t="shared" si="396"/>
        <v>0</v>
      </c>
      <c r="AV2083" s="1">
        <f t="shared" si="397"/>
        <v>0</v>
      </c>
      <c r="AW2083" s="1">
        <f t="shared" si="398"/>
        <v>0</v>
      </c>
      <c r="AX2083" s="1">
        <f t="shared" si="399"/>
        <v>0</v>
      </c>
    </row>
    <row r="2084" spans="1:50" s="1" customFormat="1" ht="24.95" customHeight="1" outlineLevel="3" x14ac:dyDescent="0.2">
      <c r="A2084" s="11"/>
      <c r="B2084" s="12">
        <v>490</v>
      </c>
      <c r="C2084" s="12">
        <v>740</v>
      </c>
      <c r="D2084" s="12">
        <v>23934</v>
      </c>
      <c r="E2084" s="13" t="s">
        <v>6763</v>
      </c>
      <c r="F2084" s="13" t="s">
        <v>6780</v>
      </c>
      <c r="G2084" s="13" t="s">
        <v>163</v>
      </c>
      <c r="H2084" s="13" t="s">
        <v>164</v>
      </c>
      <c r="I2084" s="12">
        <v>2022</v>
      </c>
      <c r="J2084" s="13" t="s">
        <v>6781</v>
      </c>
      <c r="K2084" s="12">
        <v>9785961474473</v>
      </c>
      <c r="L2084" s="13" t="s">
        <v>6782</v>
      </c>
      <c r="M2084" s="12">
        <v>56</v>
      </c>
      <c r="N2084" s="14">
        <v>0.19</v>
      </c>
      <c r="O2084" s="12">
        <v>148</v>
      </c>
      <c r="P2084" s="12">
        <v>216</v>
      </c>
      <c r="Q2084" s="12">
        <v>20</v>
      </c>
      <c r="R2084" s="13" t="s">
        <v>43</v>
      </c>
      <c r="S2084" s="13" t="s">
        <v>6767</v>
      </c>
      <c r="T2084" s="15">
        <v>3000</v>
      </c>
      <c r="U2084" s="13" t="s">
        <v>52</v>
      </c>
      <c r="V2084" s="13" t="s">
        <v>269</v>
      </c>
      <c r="W2084" s="12">
        <v>10</v>
      </c>
      <c r="X2084" s="33" t="str">
        <f>HYPERLINK("https://www.alpinabook.ru/catalog/book-ogriki-i-neporyadok-s-sosedom","ссылка на книгу")</f>
        <v>ссылка на книгу</v>
      </c>
      <c r="Y2084" s="34" t="str">
        <f>HYPERLINK("https://api-enni.alpina.ru/FileCertificateProject/221","https://api-enni.alpina.ru/FileCertificateProject/221")</f>
        <v>https://api-enni.alpina.ru/FileCertificateProject/221</v>
      </c>
      <c r="Z2084" s="13"/>
      <c r="AT2084" s="1">
        <f t="shared" si="395"/>
        <v>0</v>
      </c>
      <c r="AU2084" s="1">
        <f t="shared" si="396"/>
        <v>0</v>
      </c>
      <c r="AV2084" s="1">
        <f t="shared" si="397"/>
        <v>0</v>
      </c>
      <c r="AW2084" s="1">
        <f t="shared" si="398"/>
        <v>0</v>
      </c>
      <c r="AX2084" s="1">
        <f t="shared" si="399"/>
        <v>0</v>
      </c>
    </row>
    <row r="2085" spans="1:50" s="1" customFormat="1" ht="24.95" customHeight="1" outlineLevel="3" x14ac:dyDescent="0.2">
      <c r="A2085" s="11"/>
      <c r="B2085" s="12">
        <v>490</v>
      </c>
      <c r="C2085" s="12">
        <v>490</v>
      </c>
      <c r="D2085" s="12">
        <v>23305</v>
      </c>
      <c r="E2085" s="13" t="s">
        <v>6763</v>
      </c>
      <c r="F2085" s="13" t="s">
        <v>6783</v>
      </c>
      <c r="G2085" s="13" t="s">
        <v>163</v>
      </c>
      <c r="H2085" s="13" t="s">
        <v>164</v>
      </c>
      <c r="I2085" s="12">
        <v>2022</v>
      </c>
      <c r="J2085" s="13" t="s">
        <v>6784</v>
      </c>
      <c r="K2085" s="12">
        <v>9785961472080</v>
      </c>
      <c r="L2085" s="13" t="s">
        <v>6785</v>
      </c>
      <c r="M2085" s="12">
        <v>26</v>
      </c>
      <c r="N2085" s="14">
        <v>0.26</v>
      </c>
      <c r="O2085" s="12">
        <v>196</v>
      </c>
      <c r="P2085" s="12">
        <v>269</v>
      </c>
      <c r="Q2085" s="12">
        <v>20</v>
      </c>
      <c r="R2085" s="13" t="s">
        <v>300</v>
      </c>
      <c r="S2085" s="13" t="s">
        <v>6767</v>
      </c>
      <c r="T2085" s="15">
        <v>3000</v>
      </c>
      <c r="U2085" s="13" t="s">
        <v>52</v>
      </c>
      <c r="V2085" s="13" t="s">
        <v>64</v>
      </c>
      <c r="W2085" s="12">
        <v>10</v>
      </c>
      <c r="X2085" s="33" t="str">
        <f>HYPERLINK("https://www.alpinabook.ru/catalog/book-ogriki-iz-gryazburga","ссылка на книгу")</f>
        <v>ссылка на книгу</v>
      </c>
      <c r="Y2085" s="34" t="str">
        <f>HYPERLINK("https://api-enni.alpina.ru/FileCertificateProject/173","https://api-enni.alpina.ru/FileCertificateProject/173")</f>
        <v>https://api-enni.alpina.ru/FileCertificateProject/173</v>
      </c>
      <c r="Z2085" s="13"/>
      <c r="AT2085" s="1">
        <f t="shared" si="395"/>
        <v>0</v>
      </c>
      <c r="AU2085" s="1">
        <f t="shared" si="396"/>
        <v>0</v>
      </c>
      <c r="AV2085" s="1">
        <f t="shared" si="397"/>
        <v>0</v>
      </c>
      <c r="AW2085" s="1">
        <f t="shared" si="398"/>
        <v>0</v>
      </c>
      <c r="AX2085" s="1">
        <f t="shared" si="399"/>
        <v>0</v>
      </c>
    </row>
    <row r="2086" spans="1:50" s="1" customFormat="1" ht="24.95" customHeight="1" outlineLevel="3" x14ac:dyDescent="0.2">
      <c r="A2086" s="11"/>
      <c r="B2086" s="12">
        <v>490</v>
      </c>
      <c r="C2086" s="12">
        <v>490</v>
      </c>
      <c r="D2086" s="12">
        <v>24842</v>
      </c>
      <c r="E2086" s="13" t="s">
        <v>6763</v>
      </c>
      <c r="F2086" s="13" t="s">
        <v>6786</v>
      </c>
      <c r="G2086" s="13" t="s">
        <v>163</v>
      </c>
      <c r="H2086" s="13" t="s">
        <v>164</v>
      </c>
      <c r="I2086" s="12">
        <v>2022</v>
      </c>
      <c r="J2086" s="13" t="s">
        <v>6787</v>
      </c>
      <c r="K2086" s="12">
        <v>9785961476767</v>
      </c>
      <c r="L2086" s="13" t="s">
        <v>6788</v>
      </c>
      <c r="M2086" s="12">
        <v>56</v>
      </c>
      <c r="N2086" s="14">
        <v>0.19</v>
      </c>
      <c r="O2086" s="12">
        <v>148</v>
      </c>
      <c r="P2086" s="12">
        <v>216</v>
      </c>
      <c r="Q2086" s="12">
        <v>20</v>
      </c>
      <c r="R2086" s="13" t="s">
        <v>43</v>
      </c>
      <c r="S2086" s="13" t="s">
        <v>6767</v>
      </c>
      <c r="T2086" s="15">
        <v>3000</v>
      </c>
      <c r="U2086" s="13" t="s">
        <v>52</v>
      </c>
      <c r="V2086" s="13" t="s">
        <v>269</v>
      </c>
      <c r="W2086" s="12">
        <v>10</v>
      </c>
      <c r="X2086" s="33" t="str">
        <f>HYPERLINK("https://www.alpinabook.ru/catalog/book-ogriki-pereezd","ссылка на книгу")</f>
        <v>ссылка на книгу</v>
      </c>
      <c r="Y2086" s="34" t="str">
        <f>HYPERLINK("https://api-enni.alpina.ru/FileCertificateProject/255","https://api-enni.alpina.ru/FileCertificateProject/255")</f>
        <v>https://api-enni.alpina.ru/FileCertificateProject/255</v>
      </c>
      <c r="Z2086" s="13"/>
      <c r="AT2086" s="1">
        <f t="shared" si="395"/>
        <v>0</v>
      </c>
      <c r="AU2086" s="1">
        <f t="shared" si="396"/>
        <v>0</v>
      </c>
      <c r="AV2086" s="1">
        <f t="shared" si="397"/>
        <v>0</v>
      </c>
      <c r="AW2086" s="1">
        <f t="shared" si="398"/>
        <v>0</v>
      </c>
      <c r="AX2086" s="1">
        <f t="shared" si="399"/>
        <v>0</v>
      </c>
    </row>
    <row r="2087" spans="1:50" s="1" customFormat="1" ht="24.95" customHeight="1" outlineLevel="3" x14ac:dyDescent="0.2">
      <c r="A2087" s="11"/>
      <c r="B2087" s="12">
        <v>490</v>
      </c>
      <c r="C2087" s="12">
        <v>490</v>
      </c>
      <c r="D2087" s="12">
        <v>24841</v>
      </c>
      <c r="E2087" s="13" t="s">
        <v>6763</v>
      </c>
      <c r="F2087" s="13" t="s">
        <v>6789</v>
      </c>
      <c r="G2087" s="13" t="s">
        <v>163</v>
      </c>
      <c r="H2087" s="13" t="s">
        <v>164</v>
      </c>
      <c r="I2087" s="12">
        <v>2022</v>
      </c>
      <c r="J2087" s="13" t="s">
        <v>6790</v>
      </c>
      <c r="K2087" s="12">
        <v>9785961476927</v>
      </c>
      <c r="L2087" s="13" t="s">
        <v>6791</v>
      </c>
      <c r="M2087" s="12">
        <v>32</v>
      </c>
      <c r="N2087" s="14">
        <v>0.25</v>
      </c>
      <c r="O2087" s="12">
        <v>196</v>
      </c>
      <c r="P2087" s="12">
        <v>269</v>
      </c>
      <c r="Q2087" s="12">
        <v>20</v>
      </c>
      <c r="R2087" s="13" t="s">
        <v>300</v>
      </c>
      <c r="S2087" s="13" t="s">
        <v>6767</v>
      </c>
      <c r="T2087" s="15">
        <v>3000</v>
      </c>
      <c r="U2087" s="13" t="s">
        <v>52</v>
      </c>
      <c r="V2087" s="13" t="s">
        <v>64</v>
      </c>
      <c r="W2087" s="12">
        <v>10</v>
      </c>
      <c r="X2087" s="33" t="str">
        <f>HYPERLINK("https://www.alpinabook.ru/catalog/book-skazki-dedushki-ogri","ссылка на книгу")</f>
        <v>ссылка на книгу</v>
      </c>
      <c r="Y2087" s="34" t="str">
        <f>HYPERLINK("https://api-enni.alpina.ru/FileCertificateProject/254","https://api-enni.alpina.ru/FileCertificateProject/254")</f>
        <v>https://api-enni.alpina.ru/FileCertificateProject/254</v>
      </c>
      <c r="Z2087" s="13"/>
      <c r="AT2087" s="1">
        <f t="shared" si="395"/>
        <v>0</v>
      </c>
      <c r="AU2087" s="1">
        <f t="shared" si="396"/>
        <v>0</v>
      </c>
      <c r="AV2087" s="1">
        <f t="shared" si="397"/>
        <v>0</v>
      </c>
      <c r="AW2087" s="1">
        <f t="shared" si="398"/>
        <v>0</v>
      </c>
      <c r="AX2087" s="1">
        <f t="shared" si="399"/>
        <v>0</v>
      </c>
    </row>
    <row r="2088" spans="1:50" s="1" customFormat="1" ht="24.95" customHeight="1" outlineLevel="3" x14ac:dyDescent="0.2">
      <c r="A2088" s="11"/>
      <c r="B2088" s="12">
        <v>490</v>
      </c>
      <c r="C2088" s="12">
        <v>490</v>
      </c>
      <c r="D2088" s="12">
        <v>23932</v>
      </c>
      <c r="E2088" s="13" t="s">
        <v>6763</v>
      </c>
      <c r="F2088" s="13" t="s">
        <v>6792</v>
      </c>
      <c r="G2088" s="13" t="s">
        <v>163</v>
      </c>
      <c r="H2088" s="13" t="s">
        <v>164</v>
      </c>
      <c r="I2088" s="12">
        <v>2022</v>
      </c>
      <c r="J2088" s="13" t="s">
        <v>6793</v>
      </c>
      <c r="K2088" s="12">
        <v>9785961474466</v>
      </c>
      <c r="L2088" s="13" t="s">
        <v>6794</v>
      </c>
      <c r="M2088" s="12">
        <v>32</v>
      </c>
      <c r="N2088" s="14">
        <v>0.26</v>
      </c>
      <c r="O2088" s="12">
        <v>196</v>
      </c>
      <c r="P2088" s="12">
        <v>269</v>
      </c>
      <c r="Q2088" s="12">
        <v>15</v>
      </c>
      <c r="R2088" s="13" t="s">
        <v>300</v>
      </c>
      <c r="S2088" s="13" t="s">
        <v>6767</v>
      </c>
      <c r="T2088" s="15">
        <v>3000</v>
      </c>
      <c r="U2088" s="13" t="s">
        <v>52</v>
      </c>
      <c r="V2088" s="13" t="s">
        <v>64</v>
      </c>
      <c r="W2088" s="12">
        <v>10</v>
      </c>
      <c r="X2088" s="33" t="str">
        <f>HYPERLINK("https://www.alpinabook.ru/catalog/book-ogriki-kto-zhe-vylechit-drakona","ссылка на книгу")</f>
        <v>ссылка на книгу</v>
      </c>
      <c r="Y2088" s="34" t="str">
        <f>HYPERLINK("https://api-enni.alpina.ru/FileCertificateProject/220","https://api-enni.alpina.ru/FileCertificateProject/220")</f>
        <v>https://api-enni.alpina.ru/FileCertificateProject/220</v>
      </c>
      <c r="Z2088" s="13"/>
      <c r="AT2088" s="1">
        <f t="shared" si="395"/>
        <v>0</v>
      </c>
      <c r="AU2088" s="1">
        <f t="shared" si="396"/>
        <v>0</v>
      </c>
      <c r="AV2088" s="1">
        <f t="shared" si="397"/>
        <v>0</v>
      </c>
      <c r="AW2088" s="1">
        <f t="shared" si="398"/>
        <v>0</v>
      </c>
      <c r="AX2088" s="1">
        <f t="shared" si="399"/>
        <v>0</v>
      </c>
    </row>
    <row r="2089" spans="1:50" s="1" customFormat="1" ht="24.95" customHeight="1" outlineLevel="3" x14ac:dyDescent="0.2">
      <c r="A2089" s="11"/>
      <c r="B2089" s="12">
        <v>490</v>
      </c>
      <c r="C2089" s="12">
        <v>490</v>
      </c>
      <c r="D2089" s="12">
        <v>23327</v>
      </c>
      <c r="E2089" s="13" t="s">
        <v>6763</v>
      </c>
      <c r="F2089" s="13" t="s">
        <v>6795</v>
      </c>
      <c r="G2089" s="13" t="s">
        <v>163</v>
      </c>
      <c r="H2089" s="13" t="s">
        <v>164</v>
      </c>
      <c r="I2089" s="12">
        <v>2021</v>
      </c>
      <c r="J2089" s="13" t="s">
        <v>6796</v>
      </c>
      <c r="K2089" s="12">
        <v>9785961472158</v>
      </c>
      <c r="L2089" s="13" t="s">
        <v>6797</v>
      </c>
      <c r="M2089" s="12">
        <v>56</v>
      </c>
      <c r="N2089" s="14">
        <v>0.19</v>
      </c>
      <c r="O2089" s="12">
        <v>148</v>
      </c>
      <c r="P2089" s="12">
        <v>216</v>
      </c>
      <c r="Q2089" s="12">
        <v>20</v>
      </c>
      <c r="R2089" s="13" t="s">
        <v>43</v>
      </c>
      <c r="S2089" s="13" t="s">
        <v>6767</v>
      </c>
      <c r="T2089" s="15">
        <v>3000</v>
      </c>
      <c r="U2089" s="13" t="s">
        <v>52</v>
      </c>
      <c r="V2089" s="13" t="s">
        <v>269</v>
      </c>
      <c r="W2089" s="12">
        <v>10</v>
      </c>
      <c r="X2089" s="33" t="str">
        <f>HYPERLINK("https://www.alpinabook.ru/catalog/book-721594","ссылка на книгу")</f>
        <v>ссылка на книгу</v>
      </c>
      <c r="Y2089" s="34" t="str">
        <f>HYPERLINK("https://api-enni.alpina.ru/FileCertificateProject/176","https://api-enni.alpina.ru/FileCertificateProject/176")</f>
        <v>https://api-enni.alpina.ru/FileCertificateProject/176</v>
      </c>
      <c r="Z2089" s="13"/>
      <c r="AT2089" s="1">
        <f t="shared" si="395"/>
        <v>0</v>
      </c>
      <c r="AU2089" s="1">
        <f t="shared" si="396"/>
        <v>0</v>
      </c>
      <c r="AV2089" s="1">
        <f t="shared" si="397"/>
        <v>0</v>
      </c>
      <c r="AW2089" s="1">
        <f t="shared" si="398"/>
        <v>0</v>
      </c>
      <c r="AX2089" s="1">
        <f t="shared" si="399"/>
        <v>0</v>
      </c>
    </row>
    <row r="2090" spans="1:50" s="1" customFormat="1" ht="24.95" customHeight="1" outlineLevel="3" x14ac:dyDescent="0.2">
      <c r="A2090" s="11"/>
      <c r="B2090" s="12">
        <v>490</v>
      </c>
      <c r="C2090" s="12">
        <v>490</v>
      </c>
      <c r="D2090" s="12">
        <v>24856</v>
      </c>
      <c r="E2090" s="13" t="s">
        <v>6763</v>
      </c>
      <c r="F2090" s="13" t="s">
        <v>6798</v>
      </c>
      <c r="G2090" s="13" t="s">
        <v>163</v>
      </c>
      <c r="H2090" s="13" t="s">
        <v>164</v>
      </c>
      <c r="I2090" s="12">
        <v>2022</v>
      </c>
      <c r="J2090" s="13" t="s">
        <v>6799</v>
      </c>
      <c r="K2090" s="12">
        <v>9785961476293</v>
      </c>
      <c r="L2090" s="13" t="s">
        <v>6800</v>
      </c>
      <c r="M2090" s="12">
        <v>42</v>
      </c>
      <c r="N2090" s="14">
        <v>0.3</v>
      </c>
      <c r="O2090" s="12">
        <v>196</v>
      </c>
      <c r="P2090" s="12">
        <v>269</v>
      </c>
      <c r="Q2090" s="12">
        <v>15</v>
      </c>
      <c r="R2090" s="13" t="s">
        <v>300</v>
      </c>
      <c r="S2090" s="13" t="s">
        <v>6767</v>
      </c>
      <c r="T2090" s="15">
        <v>3000</v>
      </c>
      <c r="U2090" s="13" t="s">
        <v>52</v>
      </c>
      <c r="V2090" s="13" t="s">
        <v>64</v>
      </c>
      <c r="W2090" s="12">
        <v>10</v>
      </c>
      <c r="X2090" s="33" t="str">
        <f>HYPERLINK("https://www.alpinabook.ru/catalog/book-ogriki-v-kosmose","ссылка на книгу")</f>
        <v>ссылка на книгу</v>
      </c>
      <c r="Y2090" s="34" t="str">
        <f>HYPERLINK("https://api-enni.alpina.ru/FileCertificateProject/257","https://api-enni.alpina.ru/FileCertificateProject/257")</f>
        <v>https://api-enni.alpina.ru/FileCertificateProject/257</v>
      </c>
      <c r="Z2090" s="13"/>
      <c r="AT2090" s="1">
        <f t="shared" si="395"/>
        <v>0</v>
      </c>
      <c r="AU2090" s="1">
        <f t="shared" si="396"/>
        <v>0</v>
      </c>
      <c r="AV2090" s="1">
        <f t="shared" si="397"/>
        <v>0</v>
      </c>
      <c r="AW2090" s="1">
        <f t="shared" si="398"/>
        <v>0</v>
      </c>
      <c r="AX2090" s="1">
        <f t="shared" si="399"/>
        <v>0</v>
      </c>
    </row>
    <row r="2091" spans="1:50" ht="11.1" customHeight="1" outlineLevel="2" x14ac:dyDescent="0.2">
      <c r="A2091" s="40" t="s">
        <v>6801</v>
      </c>
      <c r="B2091" s="40"/>
      <c r="C2091" s="40"/>
      <c r="D2091" s="40"/>
      <c r="E2091" s="40"/>
      <c r="F2091" s="40"/>
      <c r="G2091" s="40"/>
      <c r="H2091" s="40"/>
      <c r="I2091" s="40"/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20"/>
    </row>
    <row r="2092" spans="1:50" s="1" customFormat="1" ht="21.95" customHeight="1" outlineLevel="3" x14ac:dyDescent="0.2">
      <c r="A2092" s="11"/>
      <c r="B2092" s="12">
        <v>590</v>
      </c>
      <c r="C2092" s="12">
        <v>840</v>
      </c>
      <c r="D2092" s="12">
        <v>31226</v>
      </c>
      <c r="E2092" s="13" t="s">
        <v>6802</v>
      </c>
      <c r="F2092" s="13" t="s">
        <v>6803</v>
      </c>
      <c r="G2092" s="13" t="s">
        <v>163</v>
      </c>
      <c r="H2092" s="13"/>
      <c r="I2092" s="12">
        <v>2024</v>
      </c>
      <c r="J2092" s="13" t="s">
        <v>6804</v>
      </c>
      <c r="K2092" s="12">
        <v>9785961497908</v>
      </c>
      <c r="L2092" s="13" t="s">
        <v>6805</v>
      </c>
      <c r="M2092" s="12">
        <v>96</v>
      </c>
      <c r="N2092" s="14">
        <v>0.41</v>
      </c>
      <c r="O2092" s="12">
        <v>190</v>
      </c>
      <c r="P2092" s="12">
        <v>240</v>
      </c>
      <c r="Q2092" s="12">
        <v>12</v>
      </c>
      <c r="R2092" s="13" t="s">
        <v>300</v>
      </c>
      <c r="S2092" s="13"/>
      <c r="T2092" s="15">
        <v>3000</v>
      </c>
      <c r="U2092" s="13" t="s">
        <v>52</v>
      </c>
      <c r="V2092" s="13" t="s">
        <v>269</v>
      </c>
      <c r="W2092" s="12">
        <v>10</v>
      </c>
      <c r="X2092" s="33" t="str">
        <f>HYPERLINK("https://www.alpinabook.ru/catalog/book-tarif-sny-i-skazki","ссылка на книгу")</f>
        <v>ссылка на книгу</v>
      </c>
      <c r="Y2092" s="34" t="str">
        <f>HYPERLINK("","")</f>
        <v/>
      </c>
      <c r="Z2092" s="13"/>
      <c r="AT2092" s="1">
        <f t="shared" ref="AT2092:AT2114" si="400">IF($A2092&lt;&gt;0,1,0)</f>
        <v>0</v>
      </c>
      <c r="AU2092" s="1">
        <f t="shared" ref="AU2092:AU2114" si="401">$A2092*$B2092</f>
        <v>0</v>
      </c>
      <c r="AV2092" s="1">
        <f t="shared" ref="AV2092:AV2114" si="402">$A2092*$N2092</f>
        <v>0</v>
      </c>
      <c r="AW2092" s="1">
        <f t="shared" ref="AW2092:AW2114" si="403">IF($Q2092=0,0,INT($A2092/$Q2092))</f>
        <v>0</v>
      </c>
      <c r="AX2092" s="1">
        <f t="shared" ref="AX2092:AX2114" si="404">$A2092-$AW2092*$Q2092</f>
        <v>0</v>
      </c>
    </row>
    <row r="2093" spans="1:50" s="1" customFormat="1" ht="24.95" customHeight="1" outlineLevel="3" x14ac:dyDescent="0.2">
      <c r="A2093" s="11"/>
      <c r="B2093" s="12">
        <v>390</v>
      </c>
      <c r="C2093" s="12">
        <v>390</v>
      </c>
      <c r="D2093" s="12">
        <v>11892</v>
      </c>
      <c r="E2093" s="13" t="s">
        <v>6518</v>
      </c>
      <c r="F2093" s="13" t="s">
        <v>6806</v>
      </c>
      <c r="G2093" s="13" t="s">
        <v>163</v>
      </c>
      <c r="H2093" s="13" t="s">
        <v>40</v>
      </c>
      <c r="I2093" s="12">
        <v>2019</v>
      </c>
      <c r="J2093" s="13" t="s">
        <v>6807</v>
      </c>
      <c r="K2093" s="12">
        <v>9785961423983</v>
      </c>
      <c r="L2093" s="13" t="s">
        <v>6808</v>
      </c>
      <c r="M2093" s="12">
        <v>48</v>
      </c>
      <c r="N2093" s="14">
        <v>0.34</v>
      </c>
      <c r="O2093" s="12">
        <v>216</v>
      </c>
      <c r="P2093" s="12">
        <v>256</v>
      </c>
      <c r="Q2093" s="12">
        <v>15</v>
      </c>
      <c r="R2093" s="13" t="s">
        <v>100</v>
      </c>
      <c r="S2093" s="13" t="s">
        <v>6809</v>
      </c>
      <c r="T2093" s="15">
        <v>3000</v>
      </c>
      <c r="U2093" s="13" t="s">
        <v>52</v>
      </c>
      <c r="V2093" s="13" t="s">
        <v>269</v>
      </c>
      <c r="W2093" s="12">
        <v>10</v>
      </c>
      <c r="X2093" s="33" t="str">
        <f>HYPERLINK("https://www.alpinabook.ru/catalog/book-542146","ссылка на книгу")</f>
        <v>ссылка на книгу</v>
      </c>
      <c r="Y2093" s="34" t="str">
        <f>HYPERLINK("","")</f>
        <v/>
      </c>
      <c r="Z2093" s="13"/>
      <c r="AT2093" s="1">
        <f t="shared" si="400"/>
        <v>0</v>
      </c>
      <c r="AU2093" s="1">
        <f t="shared" si="401"/>
        <v>0</v>
      </c>
      <c r="AV2093" s="1">
        <f t="shared" si="402"/>
        <v>0</v>
      </c>
      <c r="AW2093" s="1">
        <f t="shared" si="403"/>
        <v>0</v>
      </c>
      <c r="AX2093" s="1">
        <f t="shared" si="404"/>
        <v>0</v>
      </c>
    </row>
    <row r="2094" spans="1:50" s="1" customFormat="1" ht="24.95" customHeight="1" outlineLevel="3" x14ac:dyDescent="0.2">
      <c r="A2094" s="11"/>
      <c r="B2094" s="12">
        <v>760</v>
      </c>
      <c r="C2094" s="15">
        <v>1190</v>
      </c>
      <c r="D2094" s="12">
        <v>32038</v>
      </c>
      <c r="E2094" s="13" t="s">
        <v>6810</v>
      </c>
      <c r="F2094" s="13" t="s">
        <v>6811</v>
      </c>
      <c r="G2094" s="13" t="s">
        <v>163</v>
      </c>
      <c r="H2094" s="13"/>
      <c r="I2094" s="12">
        <v>2025</v>
      </c>
      <c r="J2094" s="13" t="s">
        <v>6812</v>
      </c>
      <c r="K2094" s="12">
        <v>9785006300941</v>
      </c>
      <c r="L2094" s="13" t="s">
        <v>6813</v>
      </c>
      <c r="M2094" s="12">
        <v>200</v>
      </c>
      <c r="N2094" s="14">
        <v>0.53</v>
      </c>
      <c r="O2094" s="12">
        <v>170</v>
      </c>
      <c r="P2094" s="12">
        <v>240</v>
      </c>
      <c r="Q2094" s="12">
        <v>8</v>
      </c>
      <c r="R2094" s="13" t="s">
        <v>94</v>
      </c>
      <c r="S2094" s="13"/>
      <c r="T2094" s="15">
        <v>3000</v>
      </c>
      <c r="U2094" s="13" t="s">
        <v>52</v>
      </c>
      <c r="V2094" s="13" t="s">
        <v>269</v>
      </c>
      <c r="W2094" s="12">
        <v>10</v>
      </c>
      <c r="X2094" s="33" t="str">
        <f>HYPERLINK("https://www.alpinabook.ru/catalog/book-20-podarkov-na-novyy-god","ссылка на книгу")</f>
        <v>ссылка на книгу</v>
      </c>
      <c r="Y2094" s="34" t="str">
        <f>HYPERLINK("https://api-enni.alpina.ru/FileCertificateProject/486","https://api-enni.alpina.ru/FileCertificateProject/486")</f>
        <v>https://api-enni.alpina.ru/FileCertificateProject/486</v>
      </c>
      <c r="Z2094" s="13"/>
      <c r="AT2094" s="1">
        <f t="shared" si="400"/>
        <v>0</v>
      </c>
      <c r="AU2094" s="1">
        <f t="shared" si="401"/>
        <v>0</v>
      </c>
      <c r="AV2094" s="1">
        <f t="shared" si="402"/>
        <v>0</v>
      </c>
      <c r="AW2094" s="1">
        <f t="shared" si="403"/>
        <v>0</v>
      </c>
      <c r="AX2094" s="1">
        <f t="shared" si="404"/>
        <v>0</v>
      </c>
    </row>
    <row r="2095" spans="1:50" s="1" customFormat="1" ht="24.95" customHeight="1" outlineLevel="3" x14ac:dyDescent="0.2">
      <c r="A2095" s="11"/>
      <c r="B2095" s="12">
        <v>490</v>
      </c>
      <c r="C2095" s="12">
        <v>740</v>
      </c>
      <c r="D2095" s="12">
        <v>29646</v>
      </c>
      <c r="E2095" s="13" t="s">
        <v>6814</v>
      </c>
      <c r="F2095" s="13" t="s">
        <v>6815</v>
      </c>
      <c r="G2095" s="13" t="s">
        <v>163</v>
      </c>
      <c r="H2095" s="13" t="s">
        <v>164</v>
      </c>
      <c r="I2095" s="12">
        <v>2024</v>
      </c>
      <c r="J2095" s="13" t="s">
        <v>6816</v>
      </c>
      <c r="K2095" s="12">
        <v>9785961493283</v>
      </c>
      <c r="L2095" s="13" t="s">
        <v>6817</v>
      </c>
      <c r="M2095" s="12">
        <v>208</v>
      </c>
      <c r="N2095" s="14">
        <v>0.43</v>
      </c>
      <c r="O2095" s="12">
        <v>150</v>
      </c>
      <c r="P2095" s="12">
        <v>220</v>
      </c>
      <c r="Q2095" s="12">
        <v>10</v>
      </c>
      <c r="R2095" s="13" t="s">
        <v>43</v>
      </c>
      <c r="S2095" s="13" t="s">
        <v>6818</v>
      </c>
      <c r="T2095" s="15">
        <v>3000</v>
      </c>
      <c r="U2095" s="13" t="s">
        <v>52</v>
      </c>
      <c r="V2095" s="13" t="s">
        <v>269</v>
      </c>
      <c r="W2095" s="12">
        <v>10</v>
      </c>
      <c r="X2095" s="33" t="str">
        <f>HYPERLINK("https://www.alpinabook.ru/catalog/book-banda-lam-na-sedmom-nebe","ссылка на книгу")</f>
        <v>ссылка на книгу</v>
      </c>
      <c r="Y2095" s="34" t="str">
        <f>HYPERLINK("https://api-enni.alpina.ru/FileCertificateProject/505","https://api-enni.alpina.ru/FileCertificateProject/505")</f>
        <v>https://api-enni.alpina.ru/FileCertificateProject/505</v>
      </c>
      <c r="Z2095" s="13"/>
      <c r="AT2095" s="1">
        <f t="shared" si="400"/>
        <v>0</v>
      </c>
      <c r="AU2095" s="1">
        <f t="shared" si="401"/>
        <v>0</v>
      </c>
      <c r="AV2095" s="1">
        <f t="shared" si="402"/>
        <v>0</v>
      </c>
      <c r="AW2095" s="1">
        <f t="shared" si="403"/>
        <v>0</v>
      </c>
      <c r="AX2095" s="1">
        <f t="shared" si="404"/>
        <v>0</v>
      </c>
    </row>
    <row r="2096" spans="1:50" s="1" customFormat="1" ht="21.95" customHeight="1" outlineLevel="3" x14ac:dyDescent="0.2">
      <c r="A2096" s="11"/>
      <c r="B2096" s="12">
        <v>490</v>
      </c>
      <c r="C2096" s="12">
        <v>740</v>
      </c>
      <c r="D2096" s="12">
        <v>29645</v>
      </c>
      <c r="E2096" s="13" t="s">
        <v>6814</v>
      </c>
      <c r="F2096" s="13" t="s">
        <v>6819</v>
      </c>
      <c r="G2096" s="13" t="s">
        <v>163</v>
      </c>
      <c r="H2096" s="13" t="s">
        <v>164</v>
      </c>
      <c r="I2096" s="12">
        <v>2024</v>
      </c>
      <c r="J2096" s="13" t="s">
        <v>6820</v>
      </c>
      <c r="K2096" s="12">
        <v>9785961493276</v>
      </c>
      <c r="L2096" s="13" t="s">
        <v>6821</v>
      </c>
      <c r="M2096" s="12">
        <v>192</v>
      </c>
      <c r="N2096" s="14">
        <v>0.4</v>
      </c>
      <c r="O2096" s="12">
        <v>150</v>
      </c>
      <c r="P2096" s="12">
        <v>220</v>
      </c>
      <c r="Q2096" s="12">
        <v>10</v>
      </c>
      <c r="R2096" s="13" t="s">
        <v>43</v>
      </c>
      <c r="S2096" s="13" t="s">
        <v>6818</v>
      </c>
      <c r="T2096" s="15">
        <v>3000</v>
      </c>
      <c r="U2096" s="13" t="s">
        <v>52</v>
      </c>
      <c r="V2096" s="13" t="s">
        <v>269</v>
      </c>
      <c r="W2096" s="12">
        <v>10</v>
      </c>
      <c r="X2096" s="33" t="str">
        <f>HYPERLINK("https://www.alpinabook.ru/catalog/book-banda-lam-raskryt-delo-raz-plyunut","ссылка на книгу")</f>
        <v>ссылка на книгу</v>
      </c>
      <c r="Y2096" s="34" t="str">
        <f>HYPERLINK("","")</f>
        <v/>
      </c>
      <c r="Z2096" s="13"/>
      <c r="AT2096" s="1">
        <f t="shared" si="400"/>
        <v>0</v>
      </c>
      <c r="AU2096" s="1">
        <f t="shared" si="401"/>
        <v>0</v>
      </c>
      <c r="AV2096" s="1">
        <f t="shared" si="402"/>
        <v>0</v>
      </c>
      <c r="AW2096" s="1">
        <f t="shared" si="403"/>
        <v>0</v>
      </c>
      <c r="AX2096" s="1">
        <f t="shared" si="404"/>
        <v>0</v>
      </c>
    </row>
    <row r="2097" spans="1:50" s="1" customFormat="1" ht="24.95" customHeight="1" outlineLevel="3" x14ac:dyDescent="0.2">
      <c r="A2097" s="11"/>
      <c r="B2097" s="12">
        <v>690</v>
      </c>
      <c r="C2097" s="12">
        <v>990</v>
      </c>
      <c r="D2097" s="12">
        <v>29647</v>
      </c>
      <c r="E2097" s="13" t="s">
        <v>6822</v>
      </c>
      <c r="F2097" s="13" t="s">
        <v>6823</v>
      </c>
      <c r="G2097" s="13" t="s">
        <v>163</v>
      </c>
      <c r="H2097" s="13" t="s">
        <v>164</v>
      </c>
      <c r="I2097" s="12">
        <v>2025</v>
      </c>
      <c r="J2097" s="13" t="s">
        <v>6824</v>
      </c>
      <c r="K2097" s="12">
        <v>9785961493290</v>
      </c>
      <c r="L2097" s="13" t="s">
        <v>6825</v>
      </c>
      <c r="M2097" s="12">
        <v>200</v>
      </c>
      <c r="N2097" s="14">
        <v>0.41</v>
      </c>
      <c r="O2097" s="12">
        <v>150</v>
      </c>
      <c r="P2097" s="12">
        <v>220</v>
      </c>
      <c r="Q2097" s="12">
        <v>10</v>
      </c>
      <c r="R2097" s="13" t="s">
        <v>43</v>
      </c>
      <c r="S2097" s="13" t="s">
        <v>6818</v>
      </c>
      <c r="T2097" s="15">
        <v>1500</v>
      </c>
      <c r="U2097" s="13" t="s">
        <v>52</v>
      </c>
      <c r="V2097" s="13" t="s">
        <v>269</v>
      </c>
      <c r="W2097" s="12">
        <v>10</v>
      </c>
      <c r="X2097" s="33" t="str">
        <f>HYPERLINK("https://www.alpinabook.ru/catalog/book-banda-lam-sekrety-tyemnogo-lesa","ссылка на книгу")</f>
        <v>ссылка на книгу</v>
      </c>
      <c r="Y2097" s="34" t="str">
        <f>HYPERLINK("https://api-enni.alpina.ru/FileCertificateProject/744","https://api-enni.alpina.ru/FileCertificateProject/744")</f>
        <v>https://api-enni.alpina.ru/FileCertificateProject/744</v>
      </c>
      <c r="Z2097" s="13"/>
      <c r="AT2097" s="1">
        <f t="shared" si="400"/>
        <v>0</v>
      </c>
      <c r="AU2097" s="1">
        <f t="shared" si="401"/>
        <v>0</v>
      </c>
      <c r="AV2097" s="1">
        <f t="shared" si="402"/>
        <v>0</v>
      </c>
      <c r="AW2097" s="1">
        <f t="shared" si="403"/>
        <v>0</v>
      </c>
      <c r="AX2097" s="1">
        <f t="shared" si="404"/>
        <v>0</v>
      </c>
    </row>
    <row r="2098" spans="1:50" s="1" customFormat="1" ht="24.95" customHeight="1" outlineLevel="3" x14ac:dyDescent="0.2">
      <c r="A2098" s="11"/>
      <c r="B2098" s="12">
        <v>590</v>
      </c>
      <c r="C2098" s="12">
        <v>840</v>
      </c>
      <c r="D2098" s="12">
        <v>28987</v>
      </c>
      <c r="E2098" s="13" t="s">
        <v>6826</v>
      </c>
      <c r="F2098" s="13" t="s">
        <v>6827</v>
      </c>
      <c r="G2098" s="13" t="s">
        <v>163</v>
      </c>
      <c r="H2098" s="13" t="s">
        <v>164</v>
      </c>
      <c r="I2098" s="12">
        <v>2024</v>
      </c>
      <c r="J2098" s="13" t="s">
        <v>6828</v>
      </c>
      <c r="K2098" s="12">
        <v>9785961481693</v>
      </c>
      <c r="L2098" s="13" t="s">
        <v>6829</v>
      </c>
      <c r="M2098" s="12">
        <v>144</v>
      </c>
      <c r="N2098" s="14">
        <v>0.46</v>
      </c>
      <c r="O2098" s="12">
        <v>170</v>
      </c>
      <c r="P2098" s="12">
        <v>240</v>
      </c>
      <c r="Q2098" s="12">
        <v>10</v>
      </c>
      <c r="R2098" s="13" t="s">
        <v>94</v>
      </c>
      <c r="S2098" s="13"/>
      <c r="T2098" s="15">
        <v>3000</v>
      </c>
      <c r="U2098" s="13" t="s">
        <v>52</v>
      </c>
      <c r="V2098" s="13" t="s">
        <v>269</v>
      </c>
      <c r="W2098" s="12">
        <v>10</v>
      </c>
      <c r="X2098" s="33" t="str">
        <f>HYPERLINK("https://www.alpinabook.ru/catalog/book-bz-z-z-z-dzhonni-samyy-strannyy-muravey","ссылка на книгу")</f>
        <v>ссылка на книгу</v>
      </c>
      <c r="Y2098" s="34" t="str">
        <f>HYPERLINK("","")</f>
        <v/>
      </c>
      <c r="Z2098" s="13"/>
      <c r="AT2098" s="1">
        <f t="shared" si="400"/>
        <v>0</v>
      </c>
      <c r="AU2098" s="1">
        <f t="shared" si="401"/>
        <v>0</v>
      </c>
      <c r="AV2098" s="1">
        <f t="shared" si="402"/>
        <v>0</v>
      </c>
      <c r="AW2098" s="1">
        <f t="shared" si="403"/>
        <v>0</v>
      </c>
      <c r="AX2098" s="1">
        <f t="shared" si="404"/>
        <v>0</v>
      </c>
    </row>
    <row r="2099" spans="1:50" s="1" customFormat="1" ht="24.95" customHeight="1" outlineLevel="3" x14ac:dyDescent="0.2">
      <c r="A2099" s="11"/>
      <c r="B2099" s="12">
        <v>590</v>
      </c>
      <c r="C2099" s="12">
        <v>840</v>
      </c>
      <c r="D2099" s="12">
        <v>28418</v>
      </c>
      <c r="E2099" s="13" t="s">
        <v>6830</v>
      </c>
      <c r="F2099" s="13" t="s">
        <v>6831</v>
      </c>
      <c r="G2099" s="13" t="s">
        <v>6832</v>
      </c>
      <c r="H2099" s="13"/>
      <c r="I2099" s="12">
        <v>2024</v>
      </c>
      <c r="J2099" s="13" t="s">
        <v>6833</v>
      </c>
      <c r="K2099" s="12">
        <v>9785961488869</v>
      </c>
      <c r="L2099" s="13" t="s">
        <v>6834</v>
      </c>
      <c r="M2099" s="12">
        <v>144</v>
      </c>
      <c r="N2099" s="14">
        <v>0.31</v>
      </c>
      <c r="O2099" s="12">
        <v>150</v>
      </c>
      <c r="P2099" s="12">
        <v>210</v>
      </c>
      <c r="Q2099" s="12">
        <v>20</v>
      </c>
      <c r="R2099" s="13" t="s">
        <v>43</v>
      </c>
      <c r="S2099" s="13" t="s">
        <v>6835</v>
      </c>
      <c r="T2099" s="15">
        <v>3000</v>
      </c>
      <c r="U2099" s="13" t="s">
        <v>52</v>
      </c>
      <c r="V2099" s="13" t="s">
        <v>269</v>
      </c>
      <c r="W2099" s="12">
        <v>10</v>
      </c>
      <c r="X2099" s="33" t="str">
        <f>HYPERLINK("https://www.alpinabook.ru/catalog/book-zhazhda-priklyucheniy","ссылка на книгу")</f>
        <v>ссылка на книгу</v>
      </c>
      <c r="Y2099" s="34" t="str">
        <f>HYPERLINK("https://api-enni.alpina.ru/FilePrivilegesApproval/283","https://api-enni.alpina.ru/FilePrivilegesApproval/283")</f>
        <v>https://api-enni.alpina.ru/FilePrivilegesApproval/283</v>
      </c>
      <c r="Z2099" s="13"/>
      <c r="AT2099" s="1">
        <f t="shared" si="400"/>
        <v>0</v>
      </c>
      <c r="AU2099" s="1">
        <f t="shared" si="401"/>
        <v>0</v>
      </c>
      <c r="AV2099" s="1">
        <f t="shared" si="402"/>
        <v>0</v>
      </c>
      <c r="AW2099" s="1">
        <f t="shared" si="403"/>
        <v>0</v>
      </c>
      <c r="AX2099" s="1">
        <f t="shared" si="404"/>
        <v>0</v>
      </c>
    </row>
    <row r="2100" spans="1:50" s="1" customFormat="1" ht="24.95" customHeight="1" outlineLevel="3" x14ac:dyDescent="0.2">
      <c r="A2100" s="11"/>
      <c r="B2100" s="12">
        <v>590</v>
      </c>
      <c r="C2100" s="12">
        <v>840</v>
      </c>
      <c r="D2100" s="12">
        <v>30029</v>
      </c>
      <c r="E2100" s="13" t="s">
        <v>6836</v>
      </c>
      <c r="F2100" s="13" t="s">
        <v>6837</v>
      </c>
      <c r="G2100" s="13" t="s">
        <v>6832</v>
      </c>
      <c r="H2100" s="13" t="s">
        <v>200</v>
      </c>
      <c r="I2100" s="12">
        <v>2024</v>
      </c>
      <c r="J2100" s="13" t="s">
        <v>6838</v>
      </c>
      <c r="K2100" s="12">
        <v>9785961494631</v>
      </c>
      <c r="L2100" s="13" t="s">
        <v>6839</v>
      </c>
      <c r="M2100" s="12">
        <v>192</v>
      </c>
      <c r="N2100" s="14">
        <v>0.37</v>
      </c>
      <c r="O2100" s="12">
        <v>150</v>
      </c>
      <c r="P2100" s="12">
        <v>210</v>
      </c>
      <c r="Q2100" s="12">
        <v>12</v>
      </c>
      <c r="R2100" s="13" t="s">
        <v>43</v>
      </c>
      <c r="S2100" s="13" t="s">
        <v>6835</v>
      </c>
      <c r="T2100" s="15">
        <v>3000</v>
      </c>
      <c r="U2100" s="13" t="s">
        <v>52</v>
      </c>
      <c r="V2100" s="13" t="s">
        <v>269</v>
      </c>
      <c r="W2100" s="12">
        <v>10</v>
      </c>
      <c r="X2100" s="33" t="str">
        <f>HYPERLINK("https://www.alpinabook.ru/catalog/book-zvyezdy-akademii-los-suenos","ссылка на книгу")</f>
        <v>ссылка на книгу</v>
      </c>
      <c r="Y2100" s="34" t="str">
        <f>HYPERLINK("https://api-enni.alpina.ru/FilePrivilegesApproval/368","https://api-enni.alpina.ru/FilePrivilegesApproval/368")</f>
        <v>https://api-enni.alpina.ru/FilePrivilegesApproval/368</v>
      </c>
      <c r="Z2100" s="13"/>
      <c r="AT2100" s="1">
        <f t="shared" si="400"/>
        <v>0</v>
      </c>
      <c r="AU2100" s="1">
        <f t="shared" si="401"/>
        <v>0</v>
      </c>
      <c r="AV2100" s="1">
        <f t="shared" si="402"/>
        <v>0</v>
      </c>
      <c r="AW2100" s="1">
        <f t="shared" si="403"/>
        <v>0</v>
      </c>
      <c r="AX2100" s="1">
        <f t="shared" si="404"/>
        <v>0</v>
      </c>
    </row>
    <row r="2101" spans="1:50" s="1" customFormat="1" ht="24.95" customHeight="1" outlineLevel="3" x14ac:dyDescent="0.2">
      <c r="A2101" s="11"/>
      <c r="B2101" s="12">
        <v>590</v>
      </c>
      <c r="C2101" s="12">
        <v>840</v>
      </c>
      <c r="D2101" s="12">
        <v>30030</v>
      </c>
      <c r="E2101" s="13" t="s">
        <v>6836</v>
      </c>
      <c r="F2101" s="13" t="s">
        <v>6840</v>
      </c>
      <c r="G2101" s="13" t="s">
        <v>6832</v>
      </c>
      <c r="H2101" s="13" t="s">
        <v>200</v>
      </c>
      <c r="I2101" s="12">
        <v>2024</v>
      </c>
      <c r="J2101" s="13" t="s">
        <v>6841</v>
      </c>
      <c r="K2101" s="12">
        <v>9785961494648</v>
      </c>
      <c r="L2101" s="13" t="s">
        <v>6842</v>
      </c>
      <c r="M2101" s="12">
        <v>176</v>
      </c>
      <c r="N2101" s="14">
        <v>0.3</v>
      </c>
      <c r="O2101" s="12">
        <v>150</v>
      </c>
      <c r="P2101" s="12">
        <v>210</v>
      </c>
      <c r="Q2101" s="12">
        <v>14</v>
      </c>
      <c r="R2101" s="13" t="s">
        <v>43</v>
      </c>
      <c r="S2101" s="13" t="s">
        <v>6835</v>
      </c>
      <c r="T2101" s="15">
        <v>3000</v>
      </c>
      <c r="U2101" s="13" t="s">
        <v>52</v>
      </c>
      <c r="V2101" s="13" t="s">
        <v>269</v>
      </c>
      <c r="W2101" s="12">
        <v>10</v>
      </c>
      <c r="X2101" s="33" t="str">
        <f>HYPERLINK("https://www.alpinabook.ru/catalog/book-zvyezdy-vremya-blistat","ссылка на книгу")</f>
        <v>ссылка на книгу</v>
      </c>
      <c r="Y2101" s="34" t="str">
        <f>HYPERLINK("https://api-enni.alpina.ru/FilePrivilegesApproval/368","https://api-enni.alpina.ru/FilePrivilegesApproval/368")</f>
        <v>https://api-enni.alpina.ru/FilePrivilegesApproval/368</v>
      </c>
      <c r="Z2101" s="13"/>
      <c r="AT2101" s="1">
        <f t="shared" si="400"/>
        <v>0</v>
      </c>
      <c r="AU2101" s="1">
        <f t="shared" si="401"/>
        <v>0</v>
      </c>
      <c r="AV2101" s="1">
        <f t="shared" si="402"/>
        <v>0</v>
      </c>
      <c r="AW2101" s="1">
        <f t="shared" si="403"/>
        <v>0</v>
      </c>
      <c r="AX2101" s="1">
        <f t="shared" si="404"/>
        <v>0</v>
      </c>
    </row>
    <row r="2102" spans="1:50" s="1" customFormat="1" ht="24.95" customHeight="1" outlineLevel="3" x14ac:dyDescent="0.2">
      <c r="A2102" s="11"/>
      <c r="B2102" s="12">
        <v>690</v>
      </c>
      <c r="C2102" s="12">
        <v>990</v>
      </c>
      <c r="D2102" s="12">
        <v>29272</v>
      </c>
      <c r="E2102" s="13" t="s">
        <v>6802</v>
      </c>
      <c r="F2102" s="13" t="s">
        <v>6843</v>
      </c>
      <c r="G2102" s="13" t="s">
        <v>6832</v>
      </c>
      <c r="H2102" s="13"/>
      <c r="I2102" s="12">
        <v>2024</v>
      </c>
      <c r="J2102" s="13" t="s">
        <v>6844</v>
      </c>
      <c r="K2102" s="12">
        <v>9785961491999</v>
      </c>
      <c r="L2102" s="13" t="s">
        <v>6845</v>
      </c>
      <c r="M2102" s="12">
        <v>224</v>
      </c>
      <c r="N2102" s="14">
        <v>0.43</v>
      </c>
      <c r="O2102" s="12">
        <v>150</v>
      </c>
      <c r="P2102" s="12">
        <v>210</v>
      </c>
      <c r="Q2102" s="12">
        <v>14</v>
      </c>
      <c r="R2102" s="13" t="s">
        <v>43</v>
      </c>
      <c r="S2102" s="13" t="s">
        <v>6835</v>
      </c>
      <c r="T2102" s="15">
        <v>3000</v>
      </c>
      <c r="U2102" s="13" t="s">
        <v>52</v>
      </c>
      <c r="V2102" s="13" t="s">
        <v>269</v>
      </c>
      <c r="W2102" s="12">
        <v>10</v>
      </c>
      <c r="X2102" s="33" t="str">
        <f>HYPERLINK("https://www.alpinabook.ru/catalog/book-kroly-i-tsaki","ссылка на книгу")</f>
        <v>ссылка на книгу</v>
      </c>
      <c r="Y2102" s="34" t="str">
        <f>HYPERLINK("https://api-enni.alpina.ru/FilePrivilegesApproval/329","https://api-enni.alpina.ru/FilePrivilegesApproval/329")</f>
        <v>https://api-enni.alpina.ru/FilePrivilegesApproval/329</v>
      </c>
      <c r="Z2102" s="13"/>
      <c r="AT2102" s="1">
        <f t="shared" si="400"/>
        <v>0</v>
      </c>
      <c r="AU2102" s="1">
        <f t="shared" si="401"/>
        <v>0</v>
      </c>
      <c r="AV2102" s="1">
        <f t="shared" si="402"/>
        <v>0</v>
      </c>
      <c r="AW2102" s="1">
        <f t="shared" si="403"/>
        <v>0</v>
      </c>
      <c r="AX2102" s="1">
        <f t="shared" si="404"/>
        <v>0</v>
      </c>
    </row>
    <row r="2103" spans="1:50" s="1" customFormat="1" ht="24.95" customHeight="1" outlineLevel="3" x14ac:dyDescent="0.2">
      <c r="A2103" s="11"/>
      <c r="B2103" s="12">
        <v>690</v>
      </c>
      <c r="C2103" s="12">
        <v>990</v>
      </c>
      <c r="D2103" s="12">
        <v>28922</v>
      </c>
      <c r="E2103" s="13" t="s">
        <v>5946</v>
      </c>
      <c r="F2103" s="13" t="s">
        <v>6846</v>
      </c>
      <c r="G2103" s="13" t="s">
        <v>6832</v>
      </c>
      <c r="H2103" s="13"/>
      <c r="I2103" s="12">
        <v>2025</v>
      </c>
      <c r="J2103" s="13" t="s">
        <v>6847</v>
      </c>
      <c r="K2103" s="12">
        <v>9785961490725</v>
      </c>
      <c r="L2103" s="13" t="s">
        <v>6848</v>
      </c>
      <c r="M2103" s="12">
        <v>304</v>
      </c>
      <c r="N2103" s="14">
        <v>0.54</v>
      </c>
      <c r="O2103" s="12">
        <v>150</v>
      </c>
      <c r="P2103" s="12">
        <v>210</v>
      </c>
      <c r="Q2103" s="12">
        <v>12</v>
      </c>
      <c r="R2103" s="13" t="s">
        <v>43</v>
      </c>
      <c r="S2103" s="13" t="s">
        <v>6835</v>
      </c>
      <c r="T2103" s="15">
        <v>2000</v>
      </c>
      <c r="U2103" s="13" t="s">
        <v>52</v>
      </c>
      <c r="V2103" s="13" t="s">
        <v>269</v>
      </c>
      <c r="W2103" s="12">
        <v>10</v>
      </c>
      <c r="X2103" s="33" t="str">
        <f>HYPERLINK("https://www.alpinabook.ru/catalog/book-mafiya-s-podokonnika","ссылка на книгу")</f>
        <v>ссылка на книгу</v>
      </c>
      <c r="Y2103" s="34" t="str">
        <f>HYPERLINK("https://api-enni.alpina.ru/FilePrivilegesApproval/385","https://api-enni.alpina.ru/FilePrivilegesApproval/385")</f>
        <v>https://api-enni.alpina.ru/FilePrivilegesApproval/385</v>
      </c>
      <c r="Z2103" s="13"/>
      <c r="AT2103" s="1">
        <f t="shared" si="400"/>
        <v>0</v>
      </c>
      <c r="AU2103" s="1">
        <f t="shared" si="401"/>
        <v>0</v>
      </c>
      <c r="AV2103" s="1">
        <f t="shared" si="402"/>
        <v>0</v>
      </c>
      <c r="AW2103" s="1">
        <f t="shared" si="403"/>
        <v>0</v>
      </c>
      <c r="AX2103" s="1">
        <f t="shared" si="404"/>
        <v>0</v>
      </c>
    </row>
    <row r="2104" spans="1:50" s="1" customFormat="1" ht="24.95" customHeight="1" outlineLevel="3" x14ac:dyDescent="0.2">
      <c r="A2104" s="11"/>
      <c r="B2104" s="12">
        <v>690</v>
      </c>
      <c r="C2104" s="12">
        <v>990</v>
      </c>
      <c r="D2104" s="12">
        <v>28729</v>
      </c>
      <c r="E2104" s="13" t="s">
        <v>6849</v>
      </c>
      <c r="F2104" s="13" t="s">
        <v>6850</v>
      </c>
      <c r="G2104" s="13" t="s">
        <v>6832</v>
      </c>
      <c r="H2104" s="13" t="s">
        <v>40</v>
      </c>
      <c r="I2104" s="12">
        <v>2024</v>
      </c>
      <c r="J2104" s="13" t="s">
        <v>6851</v>
      </c>
      <c r="K2104" s="12">
        <v>9785961489910</v>
      </c>
      <c r="L2104" s="13" t="s">
        <v>6852</v>
      </c>
      <c r="M2104" s="12">
        <v>240</v>
      </c>
      <c r="N2104" s="14">
        <v>0.47</v>
      </c>
      <c r="O2104" s="12">
        <v>150</v>
      </c>
      <c r="P2104" s="12">
        <v>210</v>
      </c>
      <c r="Q2104" s="12">
        <v>10</v>
      </c>
      <c r="R2104" s="13" t="s">
        <v>43</v>
      </c>
      <c r="S2104" s="13" t="s">
        <v>6835</v>
      </c>
      <c r="T2104" s="15">
        <v>3000</v>
      </c>
      <c r="U2104" s="13" t="s">
        <v>52</v>
      </c>
      <c r="V2104" s="13" t="s">
        <v>269</v>
      </c>
      <c r="W2104" s="12">
        <v>10</v>
      </c>
      <c r="X2104" s="33" t="str">
        <f>HYPERLINK("https://www.alpinabook.ru/catalog/book-neobyknovennye-kury","ссылка на книгу")</f>
        <v>ссылка на книгу</v>
      </c>
      <c r="Y2104" s="34" t="str">
        <f>HYPERLINK("https://api-enni.alpina.ru/FilePrivilegesApproval/296","https://api-enni.alpina.ru/FilePrivilegesApproval/296")</f>
        <v>https://api-enni.alpina.ru/FilePrivilegesApproval/296</v>
      </c>
      <c r="Z2104" s="13"/>
      <c r="AT2104" s="1">
        <f t="shared" si="400"/>
        <v>0</v>
      </c>
      <c r="AU2104" s="1">
        <f t="shared" si="401"/>
        <v>0</v>
      </c>
      <c r="AV2104" s="1">
        <f t="shared" si="402"/>
        <v>0</v>
      </c>
      <c r="AW2104" s="1">
        <f t="shared" si="403"/>
        <v>0</v>
      </c>
      <c r="AX2104" s="1">
        <f t="shared" si="404"/>
        <v>0</v>
      </c>
    </row>
    <row r="2105" spans="1:50" s="1" customFormat="1" ht="24.95" customHeight="1" outlineLevel="3" x14ac:dyDescent="0.2">
      <c r="A2105" s="11"/>
      <c r="B2105" s="12">
        <v>590</v>
      </c>
      <c r="C2105" s="12">
        <v>840</v>
      </c>
      <c r="D2105" s="12">
        <v>28726</v>
      </c>
      <c r="E2105" s="13" t="s">
        <v>6853</v>
      </c>
      <c r="F2105" s="13" t="s">
        <v>6854</v>
      </c>
      <c r="G2105" s="13" t="s">
        <v>6832</v>
      </c>
      <c r="H2105" s="13"/>
      <c r="I2105" s="12">
        <v>2024</v>
      </c>
      <c r="J2105" s="13" t="s">
        <v>6855</v>
      </c>
      <c r="K2105" s="12">
        <v>9785961489903</v>
      </c>
      <c r="L2105" s="13" t="s">
        <v>6856</v>
      </c>
      <c r="M2105" s="12">
        <v>80</v>
      </c>
      <c r="N2105" s="14">
        <v>0.24</v>
      </c>
      <c r="O2105" s="12">
        <v>150</v>
      </c>
      <c r="P2105" s="12">
        <v>210</v>
      </c>
      <c r="Q2105" s="12">
        <v>24</v>
      </c>
      <c r="R2105" s="13" t="s">
        <v>43</v>
      </c>
      <c r="S2105" s="13" t="s">
        <v>6835</v>
      </c>
      <c r="T2105" s="15">
        <v>3000</v>
      </c>
      <c r="U2105" s="13" t="s">
        <v>52</v>
      </c>
      <c r="V2105" s="13" t="s">
        <v>269</v>
      </c>
      <c r="W2105" s="12">
        <v>10</v>
      </c>
      <c r="X2105" s="33" t="str">
        <f>HYPERLINK("https://www.alpinabook.ru/catalog/book-pafka-i-shkaf","ссылка на книгу")</f>
        <v>ссылка на книгу</v>
      </c>
      <c r="Y2105" s="34" t="str">
        <f>HYPERLINK("https://api-enni.alpina.ru/FilePrivilegesApproval/348","https://api-enni.alpina.ru/FilePrivilegesApproval/348")</f>
        <v>https://api-enni.alpina.ru/FilePrivilegesApproval/348</v>
      </c>
      <c r="Z2105" s="13"/>
      <c r="AT2105" s="1">
        <f t="shared" si="400"/>
        <v>0</v>
      </c>
      <c r="AU2105" s="1">
        <f t="shared" si="401"/>
        <v>0</v>
      </c>
      <c r="AV2105" s="1">
        <f t="shared" si="402"/>
        <v>0</v>
      </c>
      <c r="AW2105" s="1">
        <f t="shared" si="403"/>
        <v>0</v>
      </c>
      <c r="AX2105" s="1">
        <f t="shared" si="404"/>
        <v>0</v>
      </c>
    </row>
    <row r="2106" spans="1:50" s="1" customFormat="1" ht="21.95" customHeight="1" outlineLevel="3" x14ac:dyDescent="0.2">
      <c r="A2106" s="11"/>
      <c r="B2106" s="12">
        <v>490</v>
      </c>
      <c r="C2106" s="12">
        <v>490</v>
      </c>
      <c r="D2106" s="12">
        <v>18168</v>
      </c>
      <c r="E2106" s="13" t="s">
        <v>5745</v>
      </c>
      <c r="F2106" s="13" t="s">
        <v>6857</v>
      </c>
      <c r="G2106" s="13" t="s">
        <v>163</v>
      </c>
      <c r="H2106" s="13"/>
      <c r="I2106" s="12">
        <v>2020</v>
      </c>
      <c r="J2106" s="13" t="s">
        <v>6858</v>
      </c>
      <c r="K2106" s="12">
        <v>9785961434682</v>
      </c>
      <c r="L2106" s="13" t="s">
        <v>6859</v>
      </c>
      <c r="M2106" s="12">
        <v>112</v>
      </c>
      <c r="N2106" s="14">
        <v>0.5</v>
      </c>
      <c r="O2106" s="12">
        <v>200</v>
      </c>
      <c r="P2106" s="12">
        <v>241</v>
      </c>
      <c r="Q2106" s="12">
        <v>10</v>
      </c>
      <c r="R2106" s="13" t="s">
        <v>300</v>
      </c>
      <c r="S2106" s="13"/>
      <c r="T2106" s="15">
        <v>3000</v>
      </c>
      <c r="U2106" s="13" t="s">
        <v>52</v>
      </c>
      <c r="V2106" s="13" t="s">
        <v>269</v>
      </c>
      <c r="W2106" s="12">
        <v>10</v>
      </c>
      <c r="X2106" s="33" t="str">
        <f>HYPERLINK("https://www.alpinabook.ru/catalog/book-0","ссылка на книгу")</f>
        <v>ссылка на книгу</v>
      </c>
      <c r="Y2106" s="34" t="str">
        <f>HYPERLINK("","")</f>
        <v/>
      </c>
      <c r="Z2106" s="13"/>
      <c r="AT2106" s="1">
        <f t="shared" si="400"/>
        <v>0</v>
      </c>
      <c r="AU2106" s="1">
        <f t="shared" si="401"/>
        <v>0</v>
      </c>
      <c r="AV2106" s="1">
        <f t="shared" si="402"/>
        <v>0</v>
      </c>
      <c r="AW2106" s="1">
        <f t="shared" si="403"/>
        <v>0</v>
      </c>
      <c r="AX2106" s="1">
        <f t="shared" si="404"/>
        <v>0</v>
      </c>
    </row>
    <row r="2107" spans="1:50" s="1" customFormat="1" ht="24.95" customHeight="1" outlineLevel="3" x14ac:dyDescent="0.2">
      <c r="A2107" s="11"/>
      <c r="B2107" s="12">
        <v>590</v>
      </c>
      <c r="C2107" s="12">
        <v>840</v>
      </c>
      <c r="D2107" s="12">
        <v>29668</v>
      </c>
      <c r="E2107" s="13" t="s">
        <v>6853</v>
      </c>
      <c r="F2107" s="13" t="s">
        <v>6860</v>
      </c>
      <c r="G2107" s="13" t="s">
        <v>6832</v>
      </c>
      <c r="H2107" s="13"/>
      <c r="I2107" s="12">
        <v>2024</v>
      </c>
      <c r="J2107" s="13" t="s">
        <v>6861</v>
      </c>
      <c r="K2107" s="12">
        <v>9785961493375</v>
      </c>
      <c r="L2107" s="13" t="s">
        <v>6862</v>
      </c>
      <c r="M2107" s="12">
        <v>96</v>
      </c>
      <c r="N2107" s="14">
        <v>0.24</v>
      </c>
      <c r="O2107" s="12">
        <v>150</v>
      </c>
      <c r="P2107" s="12">
        <v>210</v>
      </c>
      <c r="Q2107" s="12">
        <v>24</v>
      </c>
      <c r="R2107" s="13" t="s">
        <v>43</v>
      </c>
      <c r="S2107" s="13" t="s">
        <v>6835</v>
      </c>
      <c r="T2107" s="15">
        <v>3000</v>
      </c>
      <c r="U2107" s="13" t="s">
        <v>52</v>
      </c>
      <c r="V2107" s="13" t="s">
        <v>269</v>
      </c>
      <c r="W2107" s="12">
        <v>10</v>
      </c>
      <c r="X2107" s="33" t="str">
        <f>HYPERLINK("https://www.alpinabook.ru/catalog/book-priklyucheniya-mayi","ссылка на книгу")</f>
        <v>ссылка на книгу</v>
      </c>
      <c r="Y2107" s="34" t="str">
        <f>HYPERLINK("https://api-enni.alpina.ru/FilePrivilegesApproval/348","https://api-enni.alpina.ru/FilePrivilegesApproval/348")</f>
        <v>https://api-enni.alpina.ru/FilePrivilegesApproval/348</v>
      </c>
      <c r="Z2107" s="13"/>
      <c r="AT2107" s="1">
        <f t="shared" si="400"/>
        <v>0</v>
      </c>
      <c r="AU2107" s="1">
        <f t="shared" si="401"/>
        <v>0</v>
      </c>
      <c r="AV2107" s="1">
        <f t="shared" si="402"/>
        <v>0</v>
      </c>
      <c r="AW2107" s="1">
        <f t="shared" si="403"/>
        <v>0</v>
      </c>
      <c r="AX2107" s="1">
        <f t="shared" si="404"/>
        <v>0</v>
      </c>
    </row>
    <row r="2108" spans="1:50" s="1" customFormat="1" ht="24.95" customHeight="1" outlineLevel="3" x14ac:dyDescent="0.2">
      <c r="A2108" s="11"/>
      <c r="B2108" s="12">
        <v>690</v>
      </c>
      <c r="C2108" s="12">
        <v>990</v>
      </c>
      <c r="D2108" s="12">
        <v>30782</v>
      </c>
      <c r="E2108" s="13" t="s">
        <v>6863</v>
      </c>
      <c r="F2108" s="13" t="s">
        <v>6864</v>
      </c>
      <c r="G2108" s="13" t="s">
        <v>163</v>
      </c>
      <c r="H2108" s="13" t="s">
        <v>164</v>
      </c>
      <c r="I2108" s="12">
        <v>2024</v>
      </c>
      <c r="J2108" s="13" t="s">
        <v>6865</v>
      </c>
      <c r="K2108" s="12">
        <v>9785961496543</v>
      </c>
      <c r="L2108" s="13" t="s">
        <v>6866</v>
      </c>
      <c r="M2108" s="12">
        <v>96</v>
      </c>
      <c r="N2108" s="14">
        <v>0.5</v>
      </c>
      <c r="O2108" s="12">
        <v>210</v>
      </c>
      <c r="P2108" s="12">
        <v>270</v>
      </c>
      <c r="Q2108" s="12">
        <v>10</v>
      </c>
      <c r="R2108" s="13" t="s">
        <v>167</v>
      </c>
      <c r="S2108" s="13" t="s">
        <v>6867</v>
      </c>
      <c r="T2108" s="15">
        <v>3000</v>
      </c>
      <c r="U2108" s="13" t="s">
        <v>52</v>
      </c>
      <c r="V2108" s="13" t="s">
        <v>269</v>
      </c>
      <c r="W2108" s="12">
        <v>10</v>
      </c>
      <c r="X2108" s="33" t="str">
        <f>HYPERLINK("https://www.alpinabook.ru/catalog/book-priklyucheniya-perri-rodana-tayna-bluzhdayushchey-planety","ссылка на книгу")</f>
        <v>ссылка на книгу</v>
      </c>
      <c r="Y2108" s="34" t="str">
        <f>HYPERLINK("https://api-enni.alpina.ru/FileCertificateProject/403","https://api-enni.alpina.ru/FileCertificateProject/403")</f>
        <v>https://api-enni.alpina.ru/FileCertificateProject/403</v>
      </c>
      <c r="Z2108" s="13"/>
      <c r="AT2108" s="1">
        <f t="shared" si="400"/>
        <v>0</v>
      </c>
      <c r="AU2108" s="1">
        <f t="shared" si="401"/>
        <v>0</v>
      </c>
      <c r="AV2108" s="1">
        <f t="shared" si="402"/>
        <v>0</v>
      </c>
      <c r="AW2108" s="1">
        <f t="shared" si="403"/>
        <v>0</v>
      </c>
      <c r="AX2108" s="1">
        <f t="shared" si="404"/>
        <v>0</v>
      </c>
    </row>
    <row r="2109" spans="1:50" s="1" customFormat="1" ht="24.95" customHeight="1" outlineLevel="3" x14ac:dyDescent="0.2">
      <c r="A2109" s="11"/>
      <c r="B2109" s="15">
        <v>1290</v>
      </c>
      <c r="C2109" s="15">
        <v>1290</v>
      </c>
      <c r="D2109" s="12">
        <v>18177</v>
      </c>
      <c r="E2109" s="13" t="s">
        <v>5603</v>
      </c>
      <c r="F2109" s="13" t="s">
        <v>6868</v>
      </c>
      <c r="G2109" s="13" t="s">
        <v>163</v>
      </c>
      <c r="H2109" s="13"/>
      <c r="I2109" s="12">
        <v>2022</v>
      </c>
      <c r="J2109" s="13" t="s">
        <v>6869</v>
      </c>
      <c r="K2109" s="12">
        <v>9785961437065</v>
      </c>
      <c r="L2109" s="13" t="s">
        <v>6870</v>
      </c>
      <c r="M2109" s="12">
        <v>30</v>
      </c>
      <c r="N2109" s="14">
        <v>0.6</v>
      </c>
      <c r="O2109" s="12">
        <v>215</v>
      </c>
      <c r="P2109" s="12">
        <v>276</v>
      </c>
      <c r="Q2109" s="12">
        <v>20</v>
      </c>
      <c r="R2109" s="13" t="s">
        <v>300</v>
      </c>
      <c r="S2109" s="13"/>
      <c r="T2109" s="15">
        <v>2000</v>
      </c>
      <c r="U2109" s="13" t="s">
        <v>52</v>
      </c>
      <c r="V2109" s="13" t="s">
        <v>5626</v>
      </c>
      <c r="W2109" s="12">
        <v>10</v>
      </c>
      <c r="X2109" s="33" t="str">
        <f>HYPERLINK("https://www.alpinabook.ru/catalog/book-pupita-listik-i-sevan-v-poiskakh-prazdnika","ссылка на книгу")</f>
        <v>ссылка на книгу</v>
      </c>
      <c r="Y2109" s="34" t="str">
        <f>HYPERLINK("https://api-enni.alpina.ru/FileCertificateProject/101","https://api-enni.alpina.ru/FileCertificateProject/101")</f>
        <v>https://api-enni.alpina.ru/FileCertificateProject/101</v>
      </c>
      <c r="Z2109" s="13"/>
      <c r="AT2109" s="1">
        <f t="shared" si="400"/>
        <v>0</v>
      </c>
      <c r="AU2109" s="1">
        <f t="shared" si="401"/>
        <v>0</v>
      </c>
      <c r="AV2109" s="1">
        <f t="shared" si="402"/>
        <v>0</v>
      </c>
      <c r="AW2109" s="1">
        <f t="shared" si="403"/>
        <v>0</v>
      </c>
      <c r="AX2109" s="1">
        <f t="shared" si="404"/>
        <v>0</v>
      </c>
    </row>
    <row r="2110" spans="1:50" s="1" customFormat="1" ht="24.95" customHeight="1" outlineLevel="3" x14ac:dyDescent="0.2">
      <c r="A2110" s="11"/>
      <c r="B2110" s="12">
        <v>490</v>
      </c>
      <c r="C2110" s="12">
        <v>490</v>
      </c>
      <c r="D2110" s="12">
        <v>19103</v>
      </c>
      <c r="E2110" s="13" t="s">
        <v>5745</v>
      </c>
      <c r="F2110" s="13" t="s">
        <v>6871</v>
      </c>
      <c r="G2110" s="13" t="s">
        <v>163</v>
      </c>
      <c r="H2110" s="13"/>
      <c r="I2110" s="12">
        <v>2020</v>
      </c>
      <c r="J2110" s="13" t="s">
        <v>6872</v>
      </c>
      <c r="K2110" s="12">
        <v>9785961438505</v>
      </c>
      <c r="L2110" s="13" t="s">
        <v>6873</v>
      </c>
      <c r="M2110" s="12">
        <v>120</v>
      </c>
      <c r="N2110" s="14">
        <v>0.5</v>
      </c>
      <c r="O2110" s="12">
        <v>201</v>
      </c>
      <c r="P2110" s="12">
        <v>242</v>
      </c>
      <c r="Q2110" s="12">
        <v>10</v>
      </c>
      <c r="R2110" s="13" t="s">
        <v>300</v>
      </c>
      <c r="S2110" s="13"/>
      <c r="T2110" s="15">
        <v>3000</v>
      </c>
      <c r="U2110" s="13" t="s">
        <v>52</v>
      </c>
      <c r="V2110" s="13" t="s">
        <v>269</v>
      </c>
      <c r="W2110" s="12">
        <v>10</v>
      </c>
      <c r="X2110" s="33" t="str">
        <f>HYPERLINK("https://www.alpinabook.ru/catalog/book-662555","ссылка на книгу")</f>
        <v>ссылка на книгу</v>
      </c>
      <c r="Y2110" s="34" t="str">
        <f>HYPERLINK("https://api-enni.alpina.ru/FileCertificateProject/115","https://api-enni.alpina.ru/FileCertificateProject/115")</f>
        <v>https://api-enni.alpina.ru/FileCertificateProject/115</v>
      </c>
      <c r="Z2110" s="13"/>
      <c r="AT2110" s="1">
        <f t="shared" si="400"/>
        <v>0</v>
      </c>
      <c r="AU2110" s="1">
        <f t="shared" si="401"/>
        <v>0</v>
      </c>
      <c r="AV2110" s="1">
        <f t="shared" si="402"/>
        <v>0</v>
      </c>
      <c r="AW2110" s="1">
        <f t="shared" si="403"/>
        <v>0</v>
      </c>
      <c r="AX2110" s="1">
        <f t="shared" si="404"/>
        <v>0</v>
      </c>
    </row>
    <row r="2111" spans="1:50" s="1" customFormat="1" ht="24.95" customHeight="1" outlineLevel="3" x14ac:dyDescent="0.2">
      <c r="A2111" s="11"/>
      <c r="B2111" s="12">
        <v>590</v>
      </c>
      <c r="C2111" s="12">
        <v>840</v>
      </c>
      <c r="D2111" s="12">
        <v>28419</v>
      </c>
      <c r="E2111" s="13" t="s">
        <v>6874</v>
      </c>
      <c r="F2111" s="13" t="s">
        <v>6875</v>
      </c>
      <c r="G2111" s="13" t="s">
        <v>6832</v>
      </c>
      <c r="H2111" s="13"/>
      <c r="I2111" s="12">
        <v>2024</v>
      </c>
      <c r="J2111" s="13" t="s">
        <v>6876</v>
      </c>
      <c r="K2111" s="12">
        <v>9785961488876</v>
      </c>
      <c r="L2111" s="13" t="s">
        <v>6877</v>
      </c>
      <c r="M2111" s="12">
        <v>96</v>
      </c>
      <c r="N2111" s="14">
        <v>0.24</v>
      </c>
      <c r="O2111" s="12">
        <v>150</v>
      </c>
      <c r="P2111" s="12">
        <v>210</v>
      </c>
      <c r="Q2111" s="12">
        <v>24</v>
      </c>
      <c r="R2111" s="13" t="s">
        <v>43</v>
      </c>
      <c r="S2111" s="13" t="s">
        <v>6835</v>
      </c>
      <c r="T2111" s="15">
        <v>3000</v>
      </c>
      <c r="U2111" s="13" t="s">
        <v>52</v>
      </c>
      <c r="V2111" s="13" t="s">
        <v>269</v>
      </c>
      <c r="W2111" s="12">
        <v>10</v>
      </c>
      <c r="X2111" s="33" t="str">
        <f>HYPERLINK("https://www.alpinabook.ru/catalog/book-smotri-ot-strakha-ne-umri","ссылка на книгу")</f>
        <v>ссылка на книгу</v>
      </c>
      <c r="Y2111" s="34" t="str">
        <f>HYPERLINK("https://api-enni.alpina.ru/FilePrivilegesApproval/283","https://api-enni.alpina.ru/FilePrivilegesApproval/283")</f>
        <v>https://api-enni.alpina.ru/FilePrivilegesApproval/283</v>
      </c>
      <c r="Z2111" s="13"/>
      <c r="AT2111" s="1">
        <f t="shared" si="400"/>
        <v>0</v>
      </c>
      <c r="AU2111" s="1">
        <f t="shared" si="401"/>
        <v>0</v>
      </c>
      <c r="AV2111" s="1">
        <f t="shared" si="402"/>
        <v>0</v>
      </c>
      <c r="AW2111" s="1">
        <f t="shared" si="403"/>
        <v>0</v>
      </c>
      <c r="AX2111" s="1">
        <f t="shared" si="404"/>
        <v>0</v>
      </c>
    </row>
    <row r="2112" spans="1:50" s="1" customFormat="1" ht="24.95" customHeight="1" outlineLevel="3" x14ac:dyDescent="0.2">
      <c r="A2112" s="11"/>
      <c r="B2112" s="12">
        <v>590</v>
      </c>
      <c r="C2112" s="12">
        <v>840</v>
      </c>
      <c r="D2112" s="12">
        <v>28923</v>
      </c>
      <c r="E2112" s="13" t="s">
        <v>6830</v>
      </c>
      <c r="F2112" s="13" t="s">
        <v>6878</v>
      </c>
      <c r="G2112" s="13" t="s">
        <v>6832</v>
      </c>
      <c r="H2112" s="13"/>
      <c r="I2112" s="12">
        <v>2024</v>
      </c>
      <c r="J2112" s="13" t="s">
        <v>6879</v>
      </c>
      <c r="K2112" s="12">
        <v>9785961490732</v>
      </c>
      <c r="L2112" s="13" t="s">
        <v>6880</v>
      </c>
      <c r="M2112" s="12">
        <v>128</v>
      </c>
      <c r="N2112" s="14">
        <v>0.28999999999999998</v>
      </c>
      <c r="O2112" s="12">
        <v>150</v>
      </c>
      <c r="P2112" s="12">
        <v>210</v>
      </c>
      <c r="Q2112" s="12">
        <v>22</v>
      </c>
      <c r="R2112" s="13" t="s">
        <v>43</v>
      </c>
      <c r="S2112" s="13" t="s">
        <v>6835</v>
      </c>
      <c r="T2112" s="15">
        <v>3000</v>
      </c>
      <c r="U2112" s="13" t="s">
        <v>52</v>
      </c>
      <c r="V2112" s="13" t="s">
        <v>269</v>
      </c>
      <c r="W2112" s="12">
        <v>10</v>
      </c>
      <c r="X2112" s="33" t="str">
        <f>HYPERLINK("https://www.alpinabook.ru/catalog/book-snezhnyy-shar-istoriy","ссылка на книгу")</f>
        <v>ссылка на книгу</v>
      </c>
      <c r="Y2112" s="34" t="str">
        <f>HYPERLINK("https://api-enni.alpina.ru/FilePrivilegesApproval/385","https://api-enni.alpina.ru/FilePrivilegesApproval/385")</f>
        <v>https://api-enni.alpina.ru/FilePrivilegesApproval/385</v>
      </c>
      <c r="Z2112" s="13"/>
      <c r="AT2112" s="1">
        <f t="shared" si="400"/>
        <v>0</v>
      </c>
      <c r="AU2112" s="1">
        <f t="shared" si="401"/>
        <v>0</v>
      </c>
      <c r="AV2112" s="1">
        <f t="shared" si="402"/>
        <v>0</v>
      </c>
      <c r="AW2112" s="1">
        <f t="shared" si="403"/>
        <v>0</v>
      </c>
      <c r="AX2112" s="1">
        <f t="shared" si="404"/>
        <v>0</v>
      </c>
    </row>
    <row r="2113" spans="1:50" s="1" customFormat="1" ht="24.95" customHeight="1" outlineLevel="3" x14ac:dyDescent="0.2">
      <c r="A2113" s="11"/>
      <c r="B2113" s="12">
        <v>690</v>
      </c>
      <c r="C2113" s="12">
        <v>990</v>
      </c>
      <c r="D2113" s="12">
        <v>28417</v>
      </c>
      <c r="E2113" s="13" t="s">
        <v>6830</v>
      </c>
      <c r="F2113" s="13" t="s">
        <v>6881</v>
      </c>
      <c r="G2113" s="13" t="s">
        <v>6832</v>
      </c>
      <c r="H2113" s="13"/>
      <c r="I2113" s="12">
        <v>2024</v>
      </c>
      <c r="J2113" s="13" t="s">
        <v>6882</v>
      </c>
      <c r="K2113" s="12">
        <v>9785961488852</v>
      </c>
      <c r="L2113" s="13" t="s">
        <v>6883</v>
      </c>
      <c r="M2113" s="12">
        <v>256</v>
      </c>
      <c r="N2113" s="14">
        <v>0.47</v>
      </c>
      <c r="O2113" s="12">
        <v>150</v>
      </c>
      <c r="P2113" s="12">
        <v>210</v>
      </c>
      <c r="Q2113" s="12">
        <v>12</v>
      </c>
      <c r="R2113" s="13" t="s">
        <v>43</v>
      </c>
      <c r="S2113" s="13" t="s">
        <v>6835</v>
      </c>
      <c r="T2113" s="15">
        <v>3000</v>
      </c>
      <c r="U2113" s="13" t="s">
        <v>52</v>
      </c>
      <c r="V2113" s="13" t="s">
        <v>269</v>
      </c>
      <c r="W2113" s="12">
        <v>10</v>
      </c>
      <c r="X2113" s="33" t="str">
        <f>HYPERLINK("https://www.alpinabook.ru/catalog/book-tsveta","ссылка на книгу")</f>
        <v>ссылка на книгу</v>
      </c>
      <c r="Y2113" s="34" t="str">
        <f>HYPERLINK("https://api-enni.alpina.ru/FilePrivilegesApproval/283","https://api-enni.alpina.ru/FilePrivilegesApproval/283")</f>
        <v>https://api-enni.alpina.ru/FilePrivilegesApproval/283</v>
      </c>
      <c r="Z2113" s="13"/>
      <c r="AT2113" s="1">
        <f t="shared" si="400"/>
        <v>0</v>
      </c>
      <c r="AU2113" s="1">
        <f t="shared" si="401"/>
        <v>0</v>
      </c>
      <c r="AV2113" s="1">
        <f t="shared" si="402"/>
        <v>0</v>
      </c>
      <c r="AW2113" s="1">
        <f t="shared" si="403"/>
        <v>0</v>
      </c>
      <c r="AX2113" s="1">
        <f t="shared" si="404"/>
        <v>0</v>
      </c>
    </row>
    <row r="2114" spans="1:50" s="1" customFormat="1" ht="24.95" customHeight="1" outlineLevel="3" x14ac:dyDescent="0.2">
      <c r="A2114" s="11"/>
      <c r="B2114" s="12">
        <v>690</v>
      </c>
      <c r="C2114" s="12">
        <v>990</v>
      </c>
      <c r="D2114" s="12">
        <v>29489</v>
      </c>
      <c r="E2114" s="13" t="s">
        <v>6802</v>
      </c>
      <c r="F2114" s="13" t="s">
        <v>6884</v>
      </c>
      <c r="G2114" s="13" t="s">
        <v>6832</v>
      </c>
      <c r="H2114" s="13"/>
      <c r="I2114" s="12">
        <v>2024</v>
      </c>
      <c r="J2114" s="13" t="s">
        <v>6885</v>
      </c>
      <c r="K2114" s="12">
        <v>9785961492804</v>
      </c>
      <c r="L2114" s="13" t="s">
        <v>6886</v>
      </c>
      <c r="M2114" s="12">
        <v>336</v>
      </c>
      <c r="N2114" s="14">
        <v>0.59</v>
      </c>
      <c r="O2114" s="12">
        <v>150</v>
      </c>
      <c r="P2114" s="12">
        <v>210</v>
      </c>
      <c r="Q2114" s="12">
        <v>10</v>
      </c>
      <c r="R2114" s="13" t="s">
        <v>43</v>
      </c>
      <c r="S2114" s="13" t="s">
        <v>6835</v>
      </c>
      <c r="T2114" s="15">
        <v>3000</v>
      </c>
      <c r="U2114" s="13" t="s">
        <v>52</v>
      </c>
      <c r="V2114" s="13" t="s">
        <v>59</v>
      </c>
      <c r="W2114" s="12">
        <v>10</v>
      </c>
      <c r="X2114" s="33" t="str">
        <f>HYPERLINK("https://www.alpinabook.ru/catalog/book-chyertov-ugol","ссылка на книгу")</f>
        <v>ссылка на книгу</v>
      </c>
      <c r="Y2114" s="34" t="str">
        <f>HYPERLINK("https://api-enni.alpina.ru/FilePrivilegesApproval/345","https://api-enni.alpina.ru/FilePrivilegesApproval/345")</f>
        <v>https://api-enni.alpina.ru/FilePrivilegesApproval/345</v>
      </c>
      <c r="Z2114" s="13"/>
      <c r="AT2114" s="1">
        <f t="shared" si="400"/>
        <v>0</v>
      </c>
      <c r="AU2114" s="1">
        <f t="shared" si="401"/>
        <v>0</v>
      </c>
      <c r="AV2114" s="1">
        <f t="shared" si="402"/>
        <v>0</v>
      </c>
      <c r="AW2114" s="1">
        <f t="shared" si="403"/>
        <v>0</v>
      </c>
      <c r="AX2114" s="1">
        <f t="shared" si="404"/>
        <v>0</v>
      </c>
    </row>
    <row r="2115" spans="1:50" ht="11.1" customHeight="1" outlineLevel="2" x14ac:dyDescent="0.2">
      <c r="A2115" s="40" t="s">
        <v>6887</v>
      </c>
      <c r="B2115" s="40"/>
      <c r="C2115" s="40"/>
      <c r="D2115" s="40"/>
      <c r="E2115" s="40"/>
      <c r="F2115" s="40"/>
      <c r="G2115" s="40"/>
      <c r="H2115" s="40"/>
      <c r="I2115" s="40"/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20"/>
    </row>
    <row r="2116" spans="1:50" s="1" customFormat="1" ht="21.95" customHeight="1" outlineLevel="3" x14ac:dyDescent="0.2">
      <c r="A2116" s="11"/>
      <c r="B2116" s="12">
        <v>540</v>
      </c>
      <c r="C2116" s="12">
        <v>790</v>
      </c>
      <c r="D2116" s="12">
        <v>29510</v>
      </c>
      <c r="E2116" s="13" t="s">
        <v>283</v>
      </c>
      <c r="F2116" s="13" t="s">
        <v>6888</v>
      </c>
      <c r="G2116" s="13" t="s">
        <v>163</v>
      </c>
      <c r="H2116" s="13"/>
      <c r="I2116" s="12">
        <v>2023</v>
      </c>
      <c r="J2116" s="13" t="s">
        <v>6889</v>
      </c>
      <c r="K2116" s="12">
        <v>9785961492903</v>
      </c>
      <c r="L2116" s="13" t="s">
        <v>6890</v>
      </c>
      <c r="M2116" s="12">
        <v>12</v>
      </c>
      <c r="N2116" s="14">
        <v>0.26</v>
      </c>
      <c r="O2116" s="12">
        <v>300</v>
      </c>
      <c r="P2116" s="12">
        <v>400</v>
      </c>
      <c r="Q2116" s="12">
        <v>55</v>
      </c>
      <c r="R2116" s="13" t="s">
        <v>100</v>
      </c>
      <c r="S2116" s="13"/>
      <c r="T2116" s="15">
        <v>1000</v>
      </c>
      <c r="U2116" s="13" t="s">
        <v>44</v>
      </c>
      <c r="V2116" s="13" t="s">
        <v>64</v>
      </c>
      <c r="W2116" s="12">
        <v>20</v>
      </c>
      <c r="X2116" s="33" t="str">
        <f>HYPERLINK("https://www.alpinabook.ru/catalog/book-drakony-kalendar-2024","ссылка на книгу")</f>
        <v>ссылка на книгу</v>
      </c>
      <c r="Y2116" s="34" t="str">
        <f>HYPERLINK("","")</f>
        <v/>
      </c>
      <c r="Z2116" s="13"/>
      <c r="AT2116" s="1">
        <f>IF($A2116&lt;&gt;0,1,0)</f>
        <v>0</v>
      </c>
      <c r="AU2116" s="1">
        <f>$A2116*$B2116</f>
        <v>0</v>
      </c>
      <c r="AV2116" s="1">
        <f>$A2116*$N2116</f>
        <v>0</v>
      </c>
      <c r="AW2116" s="1">
        <f>IF($Q2116=0,0,INT($A2116/$Q2116))</f>
        <v>0</v>
      </c>
      <c r="AX2116" s="1">
        <f>$A2116-$AW2116*$Q2116</f>
        <v>0</v>
      </c>
    </row>
    <row r="2117" spans="1:50" ht="11.1" customHeight="1" outlineLevel="2" x14ac:dyDescent="0.2">
      <c r="A2117" s="40" t="s">
        <v>6891</v>
      </c>
      <c r="B2117" s="40"/>
      <c r="C2117" s="40"/>
      <c r="D2117" s="40"/>
      <c r="E2117" s="40"/>
      <c r="F2117" s="40"/>
      <c r="G2117" s="40"/>
      <c r="H2117" s="40"/>
      <c r="I2117" s="40"/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20"/>
    </row>
    <row r="2118" spans="1:50" s="1" customFormat="1" ht="21.95" customHeight="1" outlineLevel="3" x14ac:dyDescent="0.2">
      <c r="A2118" s="11"/>
      <c r="B2118" s="12">
        <v>890</v>
      </c>
      <c r="C2118" s="15">
        <v>1290</v>
      </c>
      <c r="D2118" s="12">
        <v>30963</v>
      </c>
      <c r="E2118" s="13" t="s">
        <v>263</v>
      </c>
      <c r="F2118" s="13" t="s">
        <v>6892</v>
      </c>
      <c r="G2118" s="13" t="s">
        <v>163</v>
      </c>
      <c r="H2118" s="13" t="s">
        <v>164</v>
      </c>
      <c r="I2118" s="12">
        <v>2025</v>
      </c>
      <c r="J2118" s="13" t="s">
        <v>6893</v>
      </c>
      <c r="K2118" s="12">
        <v>9785961497045</v>
      </c>
      <c r="L2118" s="13" t="s">
        <v>6894</v>
      </c>
      <c r="M2118" s="12">
        <v>200</v>
      </c>
      <c r="N2118" s="14">
        <v>0.38</v>
      </c>
      <c r="O2118" s="12">
        <v>160</v>
      </c>
      <c r="P2118" s="12">
        <v>200</v>
      </c>
      <c r="Q2118" s="12">
        <v>20</v>
      </c>
      <c r="R2118" s="13" t="s">
        <v>100</v>
      </c>
      <c r="S2118" s="13" t="s">
        <v>267</v>
      </c>
      <c r="T2118" s="15">
        <v>7000</v>
      </c>
      <c r="U2118" s="13" t="s">
        <v>52</v>
      </c>
      <c r="V2118" s="13" t="s">
        <v>269</v>
      </c>
      <c r="W2118" s="12">
        <v>20</v>
      </c>
      <c r="X2118" s="33" t="str">
        <f>HYPERLINK("https://www.alpinabook.ru/catalog/book-6-minut-dlya-detey-spetsialnoe-izdanie-24-25","ссылка на книгу")</f>
        <v>ссылка на книгу</v>
      </c>
      <c r="Y2118" s="34" t="str">
        <f>HYPERLINK("","")</f>
        <v/>
      </c>
      <c r="Z2118" s="13"/>
      <c r="AT2118" s="1">
        <f>IF($A2118&lt;&gt;0,1,0)</f>
        <v>0</v>
      </c>
      <c r="AU2118" s="1">
        <f>$A2118*$B2118</f>
        <v>0</v>
      </c>
      <c r="AV2118" s="1">
        <f>$A2118*$N2118</f>
        <v>0</v>
      </c>
      <c r="AW2118" s="1">
        <f>IF($Q2118=0,0,INT($A2118/$Q2118))</f>
        <v>0</v>
      </c>
      <c r="AX2118" s="1">
        <f>$A2118-$AW2118*$Q2118</f>
        <v>0</v>
      </c>
    </row>
    <row r="2119" spans="1:50" s="1" customFormat="1" ht="24.95" customHeight="1" outlineLevel="3" x14ac:dyDescent="0.2">
      <c r="A2119" s="11"/>
      <c r="B2119" s="12">
        <v>700</v>
      </c>
      <c r="C2119" s="12">
        <v>990</v>
      </c>
      <c r="D2119" s="12">
        <v>29887</v>
      </c>
      <c r="E2119" s="13" t="s">
        <v>6895</v>
      </c>
      <c r="F2119" s="13" t="s">
        <v>6896</v>
      </c>
      <c r="G2119" s="13" t="s">
        <v>163</v>
      </c>
      <c r="H2119" s="13"/>
      <c r="I2119" s="12">
        <v>2025</v>
      </c>
      <c r="J2119" s="13" t="s">
        <v>6897</v>
      </c>
      <c r="K2119" s="12">
        <v>9785961494297</v>
      </c>
      <c r="L2119" s="13" t="s">
        <v>6898</v>
      </c>
      <c r="M2119" s="12">
        <v>88</v>
      </c>
      <c r="N2119" s="14">
        <v>0.44</v>
      </c>
      <c r="O2119" s="12">
        <v>220</v>
      </c>
      <c r="P2119" s="12">
        <v>260</v>
      </c>
      <c r="Q2119" s="12">
        <v>10</v>
      </c>
      <c r="R2119" s="13" t="s">
        <v>167</v>
      </c>
      <c r="S2119" s="13"/>
      <c r="T2119" s="15">
        <v>5000</v>
      </c>
      <c r="U2119" s="13" t="s">
        <v>52</v>
      </c>
      <c r="V2119" s="13" t="s">
        <v>59</v>
      </c>
      <c r="W2119" s="12">
        <v>10</v>
      </c>
      <c r="X2119" s="33" t="str">
        <f>HYPERLINK("https://www.alpinabook.ru/catalog/book-edim-kak-v-skazke-zimnie-retsepty","ссылка на книгу")</f>
        <v>ссылка на книгу</v>
      </c>
      <c r="Y2119" s="34" t="str">
        <f>HYPERLINK("https://api-enni.alpina.ru/FileCertificateProject/482","https://api-enni.alpina.ru/FileCertificateProject/482")</f>
        <v>https://api-enni.alpina.ru/FileCertificateProject/482</v>
      </c>
      <c r="Z2119" s="13"/>
      <c r="AT2119" s="1">
        <f>IF($A2119&lt;&gt;0,1,0)</f>
        <v>0</v>
      </c>
      <c r="AU2119" s="1">
        <f>$A2119*$B2119</f>
        <v>0</v>
      </c>
      <c r="AV2119" s="1">
        <f>$A2119*$N2119</f>
        <v>0</v>
      </c>
      <c r="AW2119" s="1">
        <f>IF($Q2119=0,0,INT($A2119/$Q2119))</f>
        <v>0</v>
      </c>
      <c r="AX2119" s="1">
        <f>$A2119-$AW2119*$Q2119</f>
        <v>0</v>
      </c>
    </row>
    <row r="2120" spans="1:50" s="1" customFormat="1" ht="24.95" customHeight="1" outlineLevel="3" x14ac:dyDescent="0.2">
      <c r="A2120" s="26"/>
      <c r="B2120" s="27">
        <v>150</v>
      </c>
      <c r="C2120" s="27">
        <v>150</v>
      </c>
      <c r="D2120" s="27">
        <v>31752</v>
      </c>
      <c r="E2120" s="29" t="s">
        <v>283</v>
      </c>
      <c r="F2120" s="29" t="s">
        <v>6899</v>
      </c>
      <c r="G2120" s="29" t="s">
        <v>163</v>
      </c>
      <c r="H2120" s="29"/>
      <c r="I2120" s="27">
        <v>2024</v>
      </c>
      <c r="J2120" s="29" t="s">
        <v>6900</v>
      </c>
      <c r="K2120" s="27">
        <v>9785006300095</v>
      </c>
      <c r="L2120" s="29" t="s">
        <v>6901</v>
      </c>
      <c r="M2120" s="27">
        <v>1</v>
      </c>
      <c r="N2120" s="30">
        <v>0.06</v>
      </c>
      <c r="O2120" s="27">
        <v>200</v>
      </c>
      <c r="P2120" s="27">
        <v>280</v>
      </c>
      <c r="Q2120" s="27">
        <v>100</v>
      </c>
      <c r="R2120" s="29" t="s">
        <v>167</v>
      </c>
      <c r="S2120" s="29"/>
      <c r="T2120" s="28">
        <v>3000</v>
      </c>
      <c r="U2120" s="29" t="s">
        <v>44</v>
      </c>
      <c r="V2120" s="29" t="s">
        <v>64</v>
      </c>
      <c r="W2120" s="27">
        <v>10</v>
      </c>
      <c r="X2120" s="37" t="str">
        <f>HYPERLINK("https://www.alpinabook.ru/catalog/book-zima-v-gorode-raskraska-plakat","ссылка на книгу")</f>
        <v>ссылка на книгу</v>
      </c>
      <c r="Y2120" s="38" t="str">
        <f>HYPERLINK("https://api-enni.alpina.ru/FileCertificateProject/387","https://api-enni.alpina.ru/FileCertificateProject/387")</f>
        <v>https://api-enni.alpina.ru/FileCertificateProject/387</v>
      </c>
      <c r="Z2120" s="29"/>
      <c r="AT2120" s="1">
        <f>IF($A2120&lt;&gt;0,1,0)</f>
        <v>0</v>
      </c>
      <c r="AU2120" s="1">
        <f>$A2120*$B2120</f>
        <v>0</v>
      </c>
      <c r="AV2120" s="1">
        <f>$A2120*$N2120</f>
        <v>0</v>
      </c>
      <c r="AW2120" s="1">
        <f>IF($Q2120=0,0,INT($A2120/$Q2120))</f>
        <v>0</v>
      </c>
      <c r="AX2120" s="1">
        <f>$A2120-$AW2120*$Q2120</f>
        <v>0</v>
      </c>
    </row>
    <row r="2121" spans="1:50" s="1" customFormat="1" ht="24.95" customHeight="1" outlineLevel="3" x14ac:dyDescent="0.2">
      <c r="A2121" s="11"/>
      <c r="B2121" s="12">
        <v>150</v>
      </c>
      <c r="C2121" s="12">
        <v>150</v>
      </c>
      <c r="D2121" s="12">
        <v>31485</v>
      </c>
      <c r="E2121" s="13" t="s">
        <v>283</v>
      </c>
      <c r="F2121" s="13" t="s">
        <v>6902</v>
      </c>
      <c r="G2121" s="13" t="s">
        <v>163</v>
      </c>
      <c r="H2121" s="13"/>
      <c r="I2121" s="12">
        <v>2024</v>
      </c>
      <c r="J2121" s="13" t="s">
        <v>6903</v>
      </c>
      <c r="K2121" s="12">
        <v>9785961498967</v>
      </c>
      <c r="L2121" s="13" t="s">
        <v>6904</v>
      </c>
      <c r="M2121" s="12">
        <v>1</v>
      </c>
      <c r="N2121" s="14">
        <v>0.06</v>
      </c>
      <c r="O2121" s="12">
        <v>200</v>
      </c>
      <c r="P2121" s="12">
        <v>280</v>
      </c>
      <c r="Q2121" s="12">
        <v>100</v>
      </c>
      <c r="R2121" s="13" t="s">
        <v>167</v>
      </c>
      <c r="S2121" s="13"/>
      <c r="T2121" s="15">
        <v>5000</v>
      </c>
      <c r="U2121" s="13" t="s">
        <v>44</v>
      </c>
      <c r="V2121" s="13" t="s">
        <v>64</v>
      </c>
      <c r="W2121" s="12">
        <v>10</v>
      </c>
      <c r="X2121" s="33" t="str">
        <f>HYPERLINK("https://www.alpinabook.ru/catalog/book-zima-v-lesu-raskraska-plakat","ссылка на книгу")</f>
        <v>ссылка на книгу</v>
      </c>
      <c r="Y2121" s="34" t="str">
        <f>HYPERLINK("https://api-enni.alpina.ru/FileCertificateProject/388","https://api-enni.alpina.ru/FileCertificateProject/388")</f>
        <v>https://api-enni.alpina.ru/FileCertificateProject/388</v>
      </c>
      <c r="Z2121" s="13"/>
      <c r="AT2121" s="1">
        <f>IF($A2121&lt;&gt;0,1,0)</f>
        <v>0</v>
      </c>
      <c r="AU2121" s="1">
        <f>$A2121*$B2121</f>
        <v>0</v>
      </c>
      <c r="AV2121" s="1">
        <f>$A2121*$N2121</f>
        <v>0</v>
      </c>
      <c r="AW2121" s="1">
        <f>IF($Q2121=0,0,INT($A2121/$Q2121))</f>
        <v>0</v>
      </c>
      <c r="AX2121" s="1">
        <f>$A2121-$AW2121*$Q2121</f>
        <v>0</v>
      </c>
    </row>
    <row r="2122" spans="1:50" s="1" customFormat="1" ht="21.95" customHeight="1" outlineLevel="3" x14ac:dyDescent="0.2">
      <c r="A2122" s="11"/>
      <c r="B2122" s="12">
        <v>690</v>
      </c>
      <c r="C2122" s="12">
        <v>890</v>
      </c>
      <c r="D2122" s="12">
        <v>24418</v>
      </c>
      <c r="E2122" s="13"/>
      <c r="F2122" s="13" t="s">
        <v>6905</v>
      </c>
      <c r="G2122" s="13" t="s">
        <v>163</v>
      </c>
      <c r="H2122" s="13"/>
      <c r="I2122" s="12">
        <v>2022</v>
      </c>
      <c r="J2122" s="13" t="s">
        <v>6906</v>
      </c>
      <c r="K2122" s="12">
        <v>9785961475197</v>
      </c>
      <c r="L2122" s="13" t="s">
        <v>6907</v>
      </c>
      <c r="M2122" s="11"/>
      <c r="N2122" s="14">
        <v>0.3</v>
      </c>
      <c r="O2122" s="11"/>
      <c r="P2122" s="11"/>
      <c r="Q2122" s="12">
        <v>43</v>
      </c>
      <c r="R2122" s="13"/>
      <c r="S2122" s="13" t="s">
        <v>5509</v>
      </c>
      <c r="T2122" s="15">
        <v>1000</v>
      </c>
      <c r="U2122" s="13"/>
      <c r="V2122" s="13" t="s">
        <v>269</v>
      </c>
      <c r="W2122" s="12">
        <v>20</v>
      </c>
      <c r="X2122" s="33" t="str">
        <f>HYPERLINK("https://www.alpinabook.ru/catalog/book-naryazhaem-yelku-s-konni-i-yakobom","ссылка на книгу")</f>
        <v>ссылка на книгу</v>
      </c>
      <c r="Y2122" s="34" t="str">
        <f>HYPERLINK("","")</f>
        <v/>
      </c>
      <c r="Z2122" s="13"/>
      <c r="AT2122" s="1">
        <f>IF($A2122&lt;&gt;0,1,0)</f>
        <v>0</v>
      </c>
      <c r="AU2122" s="1">
        <f>$A2122*$B2122</f>
        <v>0</v>
      </c>
      <c r="AV2122" s="1">
        <f>$A2122*$N2122</f>
        <v>0</v>
      </c>
      <c r="AW2122" s="1">
        <f>IF($Q2122=0,0,INT($A2122/$Q2122))</f>
        <v>0</v>
      </c>
      <c r="AX2122" s="1">
        <f>$A2122-$AW2122*$Q2122</f>
        <v>0</v>
      </c>
    </row>
    <row r="2123" spans="1:50" ht="11.1" customHeight="1" outlineLevel="2" x14ac:dyDescent="0.2">
      <c r="A2123" s="40" t="s">
        <v>6908</v>
      </c>
      <c r="B2123" s="40"/>
      <c r="C2123" s="40"/>
      <c r="D2123" s="40"/>
      <c r="E2123" s="40"/>
      <c r="F2123" s="40"/>
      <c r="G2123" s="40"/>
      <c r="H2123" s="40"/>
      <c r="I2123" s="40"/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20"/>
    </row>
    <row r="2124" spans="1:50" s="1" customFormat="1" ht="24.95" customHeight="1" outlineLevel="3" x14ac:dyDescent="0.2">
      <c r="A2124" s="11"/>
      <c r="B2124" s="12">
        <v>440</v>
      </c>
      <c r="C2124" s="12">
        <v>690</v>
      </c>
      <c r="D2124" s="12">
        <v>30700</v>
      </c>
      <c r="E2124" s="13" t="s">
        <v>5749</v>
      </c>
      <c r="F2124" s="13" t="s">
        <v>6909</v>
      </c>
      <c r="G2124" s="13" t="s">
        <v>163</v>
      </c>
      <c r="H2124" s="13"/>
      <c r="I2124" s="12">
        <v>2024</v>
      </c>
      <c r="J2124" s="13" t="s">
        <v>6910</v>
      </c>
      <c r="K2124" s="12">
        <v>9785961496208</v>
      </c>
      <c r="L2124" s="13" t="s">
        <v>6911</v>
      </c>
      <c r="M2124" s="12">
        <v>40</v>
      </c>
      <c r="N2124" s="14">
        <v>0.11</v>
      </c>
      <c r="O2124" s="12">
        <v>170</v>
      </c>
      <c r="P2124" s="12">
        <v>220</v>
      </c>
      <c r="Q2124" s="12">
        <v>18</v>
      </c>
      <c r="R2124" s="13" t="s">
        <v>100</v>
      </c>
      <c r="S2124" s="13" t="s">
        <v>6912</v>
      </c>
      <c r="T2124" s="15">
        <v>2000</v>
      </c>
      <c r="U2124" s="13" t="s">
        <v>52</v>
      </c>
      <c r="V2124" s="13" t="s">
        <v>5626</v>
      </c>
      <c r="W2124" s="12">
        <v>10</v>
      </c>
      <c r="X2124" s="33" t="str">
        <f>HYPERLINK("https://www.alpinabook.ru/catalog/book-gde-lev","ссылка на книгу")</f>
        <v>ссылка на книгу</v>
      </c>
      <c r="Y2124" s="34" t="str">
        <f>HYPERLINK("https://api-enni.alpina.ru/FileCertificateProject/644","https://api-enni.alpina.ru/FileCertificateProject/644")</f>
        <v>https://api-enni.alpina.ru/FileCertificateProject/644</v>
      </c>
      <c r="Z2124" s="13"/>
      <c r="AT2124" s="1">
        <f t="shared" ref="AT2124:AT2130" si="405">IF($A2124&lt;&gt;0,1,0)</f>
        <v>0</v>
      </c>
      <c r="AU2124" s="1">
        <f t="shared" ref="AU2124:AU2130" si="406">$A2124*$B2124</f>
        <v>0</v>
      </c>
      <c r="AV2124" s="1">
        <f t="shared" ref="AV2124:AV2130" si="407">$A2124*$N2124</f>
        <v>0</v>
      </c>
      <c r="AW2124" s="1">
        <f t="shared" ref="AW2124:AW2130" si="408">IF($Q2124=0,0,INT($A2124/$Q2124))</f>
        <v>0</v>
      </c>
      <c r="AX2124" s="1">
        <f t="shared" ref="AX2124:AX2130" si="409">$A2124-$AW2124*$Q2124</f>
        <v>0</v>
      </c>
    </row>
    <row r="2125" spans="1:50" s="1" customFormat="1" ht="24.95" customHeight="1" outlineLevel="3" x14ac:dyDescent="0.2">
      <c r="A2125" s="11"/>
      <c r="B2125" s="12">
        <v>440</v>
      </c>
      <c r="C2125" s="12">
        <v>690</v>
      </c>
      <c r="D2125" s="12">
        <v>29898</v>
      </c>
      <c r="E2125" s="13" t="s">
        <v>5749</v>
      </c>
      <c r="F2125" s="13" t="s">
        <v>6913</v>
      </c>
      <c r="G2125" s="13" t="s">
        <v>163</v>
      </c>
      <c r="H2125" s="13"/>
      <c r="I2125" s="12">
        <v>2024</v>
      </c>
      <c r="J2125" s="13" t="s">
        <v>6914</v>
      </c>
      <c r="K2125" s="12">
        <v>9785961494341</v>
      </c>
      <c r="L2125" s="13" t="s">
        <v>6915</v>
      </c>
      <c r="M2125" s="12">
        <v>40</v>
      </c>
      <c r="N2125" s="14">
        <v>0.2</v>
      </c>
      <c r="O2125" s="12">
        <v>170</v>
      </c>
      <c r="P2125" s="12">
        <v>220</v>
      </c>
      <c r="Q2125" s="12">
        <v>18</v>
      </c>
      <c r="R2125" s="13" t="s">
        <v>100</v>
      </c>
      <c r="S2125" s="13" t="s">
        <v>6912</v>
      </c>
      <c r="T2125" s="15">
        <v>2000</v>
      </c>
      <c r="U2125" s="13" t="s">
        <v>52</v>
      </c>
      <c r="V2125" s="13" t="s">
        <v>5626</v>
      </c>
      <c r="W2125" s="12">
        <v>10</v>
      </c>
      <c r="X2125" s="33" t="str">
        <f>HYPERLINK("https://www.alpinabook.ru/catalog/book-zuby-zuby-zuby","ссылка на книгу")</f>
        <v>ссылка на книгу</v>
      </c>
      <c r="Y2125" s="34" t="str">
        <f>HYPERLINK("https://api-enni.alpina.ru/FileCertificateProject/649","https://api-enni.alpina.ru/FileCertificateProject/649")</f>
        <v>https://api-enni.alpina.ru/FileCertificateProject/649</v>
      </c>
      <c r="Z2125" s="13"/>
      <c r="AT2125" s="1">
        <f t="shared" si="405"/>
        <v>0</v>
      </c>
      <c r="AU2125" s="1">
        <f t="shared" si="406"/>
        <v>0</v>
      </c>
      <c r="AV2125" s="1">
        <f t="shared" si="407"/>
        <v>0</v>
      </c>
      <c r="AW2125" s="1">
        <f t="shared" si="408"/>
        <v>0</v>
      </c>
      <c r="AX2125" s="1">
        <f t="shared" si="409"/>
        <v>0</v>
      </c>
    </row>
    <row r="2126" spans="1:50" s="1" customFormat="1" ht="24.95" customHeight="1" outlineLevel="3" x14ac:dyDescent="0.2">
      <c r="A2126" s="11"/>
      <c r="B2126" s="12">
        <v>440</v>
      </c>
      <c r="C2126" s="12">
        <v>690</v>
      </c>
      <c r="D2126" s="12">
        <v>29473</v>
      </c>
      <c r="E2126" s="13" t="s">
        <v>5749</v>
      </c>
      <c r="F2126" s="13" t="s">
        <v>6916</v>
      </c>
      <c r="G2126" s="13" t="s">
        <v>163</v>
      </c>
      <c r="H2126" s="13"/>
      <c r="I2126" s="12">
        <v>2024</v>
      </c>
      <c r="J2126" s="13" t="s">
        <v>6917</v>
      </c>
      <c r="K2126" s="12">
        <v>9785961492729</v>
      </c>
      <c r="L2126" s="13" t="s">
        <v>6918</v>
      </c>
      <c r="M2126" s="12">
        <v>40</v>
      </c>
      <c r="N2126" s="14">
        <v>0.2</v>
      </c>
      <c r="O2126" s="12">
        <v>170</v>
      </c>
      <c r="P2126" s="12">
        <v>230</v>
      </c>
      <c r="Q2126" s="12">
        <v>18</v>
      </c>
      <c r="R2126" s="13" t="s">
        <v>100</v>
      </c>
      <c r="S2126" s="13" t="s">
        <v>6912</v>
      </c>
      <c r="T2126" s="15">
        <v>2000</v>
      </c>
      <c r="U2126" s="13" t="s">
        <v>52</v>
      </c>
      <c r="V2126" s="13" t="s">
        <v>5626</v>
      </c>
      <c r="W2126" s="12">
        <v>10</v>
      </c>
      <c r="X2126" s="33" t="str">
        <f>HYPERLINK("https://www.alpinabook.ru/catalog/book-kto-tam-tam-uzh","ссылка на книгу")</f>
        <v>ссылка на книгу</v>
      </c>
      <c r="Y2126" s="34" t="str">
        <f>HYPERLINK("https://api-enni.alpina.ru/FileCertificateProject/650","https://api-enni.alpina.ru/FileCertificateProject/650")</f>
        <v>https://api-enni.alpina.ru/FileCertificateProject/650</v>
      </c>
      <c r="Z2126" s="13"/>
      <c r="AT2126" s="1">
        <f t="shared" si="405"/>
        <v>0</v>
      </c>
      <c r="AU2126" s="1">
        <f t="shared" si="406"/>
        <v>0</v>
      </c>
      <c r="AV2126" s="1">
        <f t="shared" si="407"/>
        <v>0</v>
      </c>
      <c r="AW2126" s="1">
        <f t="shared" si="408"/>
        <v>0</v>
      </c>
      <c r="AX2126" s="1">
        <f t="shared" si="409"/>
        <v>0</v>
      </c>
    </row>
    <row r="2127" spans="1:50" s="1" customFormat="1" ht="21.95" customHeight="1" outlineLevel="3" x14ac:dyDescent="0.2">
      <c r="A2127" s="11"/>
      <c r="B2127" s="12">
        <v>440</v>
      </c>
      <c r="C2127" s="12">
        <v>690</v>
      </c>
      <c r="D2127" s="12">
        <v>29894</v>
      </c>
      <c r="E2127" s="13" t="s">
        <v>5749</v>
      </c>
      <c r="F2127" s="13" t="s">
        <v>6919</v>
      </c>
      <c r="G2127" s="13" t="s">
        <v>163</v>
      </c>
      <c r="H2127" s="13"/>
      <c r="I2127" s="12">
        <v>2024</v>
      </c>
      <c r="J2127" s="13" t="s">
        <v>6920</v>
      </c>
      <c r="K2127" s="12">
        <v>9785961494334</v>
      </c>
      <c r="L2127" s="13" t="s">
        <v>6921</v>
      </c>
      <c r="M2127" s="12">
        <v>40</v>
      </c>
      <c r="N2127" s="14">
        <v>0.2</v>
      </c>
      <c r="O2127" s="12">
        <v>170</v>
      </c>
      <c r="P2127" s="12">
        <v>220</v>
      </c>
      <c r="Q2127" s="12">
        <v>18</v>
      </c>
      <c r="R2127" s="13" t="s">
        <v>100</v>
      </c>
      <c r="S2127" s="13" t="s">
        <v>6912</v>
      </c>
      <c r="T2127" s="15">
        <v>2000</v>
      </c>
      <c r="U2127" s="13" t="s">
        <v>52</v>
      </c>
      <c r="V2127" s="13" t="s">
        <v>5626</v>
      </c>
      <c r="W2127" s="12">
        <v>10</v>
      </c>
      <c r="X2127" s="33" t="str">
        <f>HYPERLINK("https://www.alpinabook.ru/catalog/book-nogi-nogi-nogi","ссылка на книгу")</f>
        <v>ссылка на книгу</v>
      </c>
      <c r="Y2127" s="34" t="str">
        <f>HYPERLINK("","")</f>
        <v/>
      </c>
      <c r="Z2127" s="13"/>
      <c r="AT2127" s="1">
        <f t="shared" si="405"/>
        <v>0</v>
      </c>
      <c r="AU2127" s="1">
        <f t="shared" si="406"/>
        <v>0</v>
      </c>
      <c r="AV2127" s="1">
        <f t="shared" si="407"/>
        <v>0</v>
      </c>
      <c r="AW2127" s="1">
        <f t="shared" si="408"/>
        <v>0</v>
      </c>
      <c r="AX2127" s="1">
        <f t="shared" si="409"/>
        <v>0</v>
      </c>
    </row>
    <row r="2128" spans="1:50" s="1" customFormat="1" ht="24.95" customHeight="1" outlineLevel="3" x14ac:dyDescent="0.2">
      <c r="A2128" s="11"/>
      <c r="B2128" s="12">
        <v>490</v>
      </c>
      <c r="C2128" s="12">
        <v>740</v>
      </c>
      <c r="D2128" s="12">
        <v>29901</v>
      </c>
      <c r="E2128" s="13" t="s">
        <v>5749</v>
      </c>
      <c r="F2128" s="13" t="s">
        <v>6922</v>
      </c>
      <c r="G2128" s="13" t="s">
        <v>163</v>
      </c>
      <c r="H2128" s="13"/>
      <c r="I2128" s="12">
        <v>2024</v>
      </c>
      <c r="J2128" s="13" t="s">
        <v>6923</v>
      </c>
      <c r="K2128" s="12">
        <v>9785961494365</v>
      </c>
      <c r="L2128" s="13" t="s">
        <v>6924</v>
      </c>
      <c r="M2128" s="12">
        <v>56</v>
      </c>
      <c r="N2128" s="14">
        <v>0.23</v>
      </c>
      <c r="O2128" s="12">
        <v>170</v>
      </c>
      <c r="P2128" s="12">
        <v>220</v>
      </c>
      <c r="Q2128" s="12">
        <v>15</v>
      </c>
      <c r="R2128" s="13" t="s">
        <v>100</v>
      </c>
      <c r="S2128" s="13" t="s">
        <v>6912</v>
      </c>
      <c r="T2128" s="15">
        <v>2000</v>
      </c>
      <c r="U2128" s="13" t="s">
        <v>52</v>
      </c>
      <c r="V2128" s="13" t="s">
        <v>269</v>
      </c>
      <c r="W2128" s="12">
        <v>10</v>
      </c>
      <c r="X2128" s="33" t="str">
        <f>HYPERLINK("https://www.alpinabook.ru/catalog/book-slony-idut","ссылка на книгу")</f>
        <v>ссылка на книгу</v>
      </c>
      <c r="Y2128" s="34" t="str">
        <f>HYPERLINK("https://api-enni.alpina.ru/FileCertificateProject/646","https://api-enni.alpina.ru/FileCertificateProject/646")</f>
        <v>https://api-enni.alpina.ru/FileCertificateProject/646</v>
      </c>
      <c r="Z2128" s="13"/>
      <c r="AT2128" s="1">
        <f t="shared" si="405"/>
        <v>0</v>
      </c>
      <c r="AU2128" s="1">
        <f t="shared" si="406"/>
        <v>0</v>
      </c>
      <c r="AV2128" s="1">
        <f t="shared" si="407"/>
        <v>0</v>
      </c>
      <c r="AW2128" s="1">
        <f t="shared" si="408"/>
        <v>0</v>
      </c>
      <c r="AX2128" s="1">
        <f t="shared" si="409"/>
        <v>0</v>
      </c>
    </row>
    <row r="2129" spans="1:50" s="1" customFormat="1" ht="24.95" customHeight="1" outlineLevel="3" x14ac:dyDescent="0.2">
      <c r="A2129" s="11"/>
      <c r="B2129" s="12">
        <v>490</v>
      </c>
      <c r="C2129" s="12">
        <v>740</v>
      </c>
      <c r="D2129" s="12">
        <v>30699</v>
      </c>
      <c r="E2129" s="13" t="s">
        <v>5749</v>
      </c>
      <c r="F2129" s="13" t="s">
        <v>6925</v>
      </c>
      <c r="G2129" s="13" t="s">
        <v>163</v>
      </c>
      <c r="H2129" s="13"/>
      <c r="I2129" s="12">
        <v>2024</v>
      </c>
      <c r="J2129" s="13" t="s">
        <v>6926</v>
      </c>
      <c r="K2129" s="12">
        <v>9785961496192</v>
      </c>
      <c r="L2129" s="13" t="s">
        <v>6927</v>
      </c>
      <c r="M2129" s="12">
        <v>64</v>
      </c>
      <c r="N2129" s="14">
        <v>0.25</v>
      </c>
      <c r="O2129" s="12">
        <v>170</v>
      </c>
      <c r="P2129" s="12">
        <v>220</v>
      </c>
      <c r="Q2129" s="12">
        <v>15</v>
      </c>
      <c r="R2129" s="13" t="s">
        <v>100</v>
      </c>
      <c r="S2129" s="13" t="s">
        <v>6912</v>
      </c>
      <c r="T2129" s="15">
        <v>2000</v>
      </c>
      <c r="U2129" s="13" t="s">
        <v>52</v>
      </c>
      <c r="V2129" s="13" t="s">
        <v>269</v>
      </c>
      <c r="W2129" s="12">
        <v>10</v>
      </c>
      <c r="X2129" s="33" t="str">
        <f>HYPERLINK("https://www.alpinabook.ru/catalog/book-taksa-v-dzhipe","ссылка на книгу")</f>
        <v>ссылка на книгу</v>
      </c>
      <c r="Y2129" s="34" t="str">
        <f>HYPERLINK("https://api-enni.alpina.ru/FileCertificateProject/647","https://api-enni.alpina.ru/FileCertificateProject/647")</f>
        <v>https://api-enni.alpina.ru/FileCertificateProject/647</v>
      </c>
      <c r="Z2129" s="13"/>
      <c r="AT2129" s="1">
        <f t="shared" si="405"/>
        <v>0</v>
      </c>
      <c r="AU2129" s="1">
        <f t="shared" si="406"/>
        <v>0</v>
      </c>
      <c r="AV2129" s="1">
        <f t="shared" si="407"/>
        <v>0</v>
      </c>
      <c r="AW2129" s="1">
        <f t="shared" si="408"/>
        <v>0</v>
      </c>
      <c r="AX2129" s="1">
        <f t="shared" si="409"/>
        <v>0</v>
      </c>
    </row>
    <row r="2130" spans="1:50" s="1" customFormat="1" ht="21.95" customHeight="1" outlineLevel="3" x14ac:dyDescent="0.2">
      <c r="A2130" s="11"/>
      <c r="B2130" s="12">
        <v>490</v>
      </c>
      <c r="C2130" s="12">
        <v>740</v>
      </c>
      <c r="D2130" s="12">
        <v>29899</v>
      </c>
      <c r="E2130" s="13" t="s">
        <v>5749</v>
      </c>
      <c r="F2130" s="13" t="s">
        <v>6928</v>
      </c>
      <c r="G2130" s="13" t="s">
        <v>163</v>
      </c>
      <c r="H2130" s="13"/>
      <c r="I2130" s="12">
        <v>2024</v>
      </c>
      <c r="J2130" s="13" t="s">
        <v>6929</v>
      </c>
      <c r="K2130" s="12">
        <v>9785961494358</v>
      </c>
      <c r="L2130" s="13" t="s">
        <v>6930</v>
      </c>
      <c r="M2130" s="12">
        <v>48</v>
      </c>
      <c r="N2130" s="14">
        <v>0.22</v>
      </c>
      <c r="O2130" s="12">
        <v>170</v>
      </c>
      <c r="P2130" s="12">
        <v>220</v>
      </c>
      <c r="Q2130" s="12">
        <v>18</v>
      </c>
      <c r="R2130" s="13" t="s">
        <v>100</v>
      </c>
      <c r="S2130" s="13" t="s">
        <v>6912</v>
      </c>
      <c r="T2130" s="15">
        <v>2000</v>
      </c>
      <c r="U2130" s="13" t="s">
        <v>52</v>
      </c>
      <c r="V2130" s="13" t="s">
        <v>269</v>
      </c>
      <c r="W2130" s="12">
        <v>10</v>
      </c>
      <c r="X2130" s="33" t="str">
        <f>HYPERLINK("https://www.alpinabook.ru/catalog/book-ya-i-moy-kot-knizhniy-start","ссылка на книгу")</f>
        <v>ссылка на книгу</v>
      </c>
      <c r="Y2130" s="34" t="str">
        <f>HYPERLINK("","")</f>
        <v/>
      </c>
      <c r="Z2130" s="13"/>
      <c r="AT2130" s="1">
        <f t="shared" si="405"/>
        <v>0</v>
      </c>
      <c r="AU2130" s="1">
        <f t="shared" si="406"/>
        <v>0</v>
      </c>
      <c r="AV2130" s="1">
        <f t="shared" si="407"/>
        <v>0</v>
      </c>
      <c r="AW2130" s="1">
        <f t="shared" si="408"/>
        <v>0</v>
      </c>
      <c r="AX2130" s="1">
        <f t="shared" si="409"/>
        <v>0</v>
      </c>
    </row>
    <row r="2131" spans="1:50" ht="15" customHeight="1" outlineLevel="1" x14ac:dyDescent="0.2">
      <c r="A2131" s="39" t="s">
        <v>6931</v>
      </c>
      <c r="B2131" s="39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19"/>
    </row>
    <row r="2132" spans="1:50" ht="11.1" customHeight="1" outlineLevel="2" x14ac:dyDescent="0.2">
      <c r="A2132" s="40" t="s">
        <v>6932</v>
      </c>
      <c r="B2132" s="40"/>
      <c r="C2132" s="40"/>
      <c r="D2132" s="40"/>
      <c r="E2132" s="40"/>
      <c r="F2132" s="40"/>
      <c r="G2132" s="40"/>
      <c r="H2132" s="40"/>
      <c r="I2132" s="40"/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20"/>
    </row>
    <row r="2133" spans="1:50" s="1" customFormat="1" ht="24.95" customHeight="1" outlineLevel="3" x14ac:dyDescent="0.2">
      <c r="A2133" s="21"/>
      <c r="B2133" s="22">
        <v>340</v>
      </c>
      <c r="C2133" s="22">
        <v>540</v>
      </c>
      <c r="D2133" s="22">
        <v>11779</v>
      </c>
      <c r="E2133" s="23" t="s">
        <v>6933</v>
      </c>
      <c r="F2133" s="23" t="s">
        <v>6934</v>
      </c>
      <c r="G2133" s="23" t="s">
        <v>163</v>
      </c>
      <c r="H2133" s="23" t="s">
        <v>236</v>
      </c>
      <c r="I2133" s="22">
        <v>2024</v>
      </c>
      <c r="J2133" s="23" t="s">
        <v>6935</v>
      </c>
      <c r="K2133" s="22">
        <v>9785961422924</v>
      </c>
      <c r="L2133" s="23" t="s">
        <v>6936</v>
      </c>
      <c r="M2133" s="22">
        <v>294</v>
      </c>
      <c r="N2133" s="24">
        <v>0.2</v>
      </c>
      <c r="O2133" s="22">
        <v>115</v>
      </c>
      <c r="P2133" s="22">
        <v>165</v>
      </c>
      <c r="Q2133" s="22">
        <v>10</v>
      </c>
      <c r="R2133" s="23" t="s">
        <v>75</v>
      </c>
      <c r="S2133" s="23" t="s">
        <v>6937</v>
      </c>
      <c r="T2133" s="25">
        <v>2000</v>
      </c>
      <c r="U2133" s="23" t="s">
        <v>44</v>
      </c>
      <c r="V2133" s="23" t="s">
        <v>64</v>
      </c>
      <c r="W2133" s="22">
        <v>10</v>
      </c>
      <c r="X2133" s="35" t="str">
        <f>HYPERLINK("https://www.alpinabook.ru/catalog/book-nakazaniya-bespolezny","ссылка на книгу")</f>
        <v>ссылка на книгу</v>
      </c>
      <c r="Y2133" s="36" t="str">
        <f>HYPERLINK("https://api-enni.alpina.ru/FilePrivilegesApproval/156","https://api-enni.alpina.ru/FilePrivilegesApproval/156")</f>
        <v>https://api-enni.alpina.ru/FilePrivilegesApproval/156</v>
      </c>
      <c r="Z2133" s="23"/>
      <c r="AT2133" s="1">
        <f t="shared" ref="AT2133:AT2142" si="410">IF($A2133&lt;&gt;0,1,0)</f>
        <v>0</v>
      </c>
      <c r="AU2133" s="1">
        <f t="shared" ref="AU2133:AU2142" si="411">$A2133*$B2133</f>
        <v>0</v>
      </c>
      <c r="AV2133" s="1">
        <f t="shared" ref="AV2133:AV2142" si="412">$A2133*$N2133</f>
        <v>0</v>
      </c>
      <c r="AW2133" s="1">
        <f t="shared" ref="AW2133:AW2142" si="413">IF($Q2133=0,0,INT($A2133/$Q2133))</f>
        <v>0</v>
      </c>
      <c r="AX2133" s="1">
        <f t="shared" ref="AX2133:AX2142" si="414">$A2133-$AW2133*$Q2133</f>
        <v>0</v>
      </c>
    </row>
    <row r="2134" spans="1:50" s="1" customFormat="1" ht="24.95" customHeight="1" outlineLevel="3" x14ac:dyDescent="0.2">
      <c r="A2134" s="21"/>
      <c r="B2134" s="22">
        <v>640</v>
      </c>
      <c r="C2134" s="22">
        <v>640</v>
      </c>
      <c r="D2134" s="22">
        <v>24612</v>
      </c>
      <c r="E2134" s="23" t="s">
        <v>6933</v>
      </c>
      <c r="F2134" s="23" t="s">
        <v>6938</v>
      </c>
      <c r="G2134" s="23" t="s">
        <v>163</v>
      </c>
      <c r="H2134" s="23" t="s">
        <v>236</v>
      </c>
      <c r="I2134" s="22">
        <v>2023</v>
      </c>
      <c r="J2134" s="23" t="s">
        <v>6939</v>
      </c>
      <c r="K2134" s="22">
        <v>9785961475395</v>
      </c>
      <c r="L2134" s="23" t="s">
        <v>6940</v>
      </c>
      <c r="M2134" s="22">
        <v>256</v>
      </c>
      <c r="N2134" s="24">
        <v>0.4</v>
      </c>
      <c r="O2134" s="22">
        <v>146</v>
      </c>
      <c r="P2134" s="22">
        <v>216</v>
      </c>
      <c r="Q2134" s="22">
        <v>14</v>
      </c>
      <c r="R2134" s="23" t="s">
        <v>43</v>
      </c>
      <c r="S2134" s="23"/>
      <c r="T2134" s="25">
        <v>3000</v>
      </c>
      <c r="U2134" s="23" t="s">
        <v>52</v>
      </c>
      <c r="V2134" s="23" t="s">
        <v>64</v>
      </c>
      <c r="W2134" s="22">
        <v>10</v>
      </c>
      <c r="X2134" s="35" t="str">
        <f>HYPERLINK("https://www.alpinabook.ru/catalog/book-on-pervyy-nachal","ссылка на книгу")</f>
        <v>ссылка на книгу</v>
      </c>
      <c r="Y2134" s="36" t="str">
        <f>HYPERLINK("https://api-enni.alpina.ru/FilePrivilegesApproval/172","https://api-enni.alpina.ru/FilePrivilegesApproval/172")</f>
        <v>https://api-enni.alpina.ru/FilePrivilegesApproval/172</v>
      </c>
      <c r="Z2134" s="23"/>
      <c r="AT2134" s="1">
        <f t="shared" si="410"/>
        <v>0</v>
      </c>
      <c r="AU2134" s="1">
        <f t="shared" si="411"/>
        <v>0</v>
      </c>
      <c r="AV2134" s="1">
        <f t="shared" si="412"/>
        <v>0</v>
      </c>
      <c r="AW2134" s="1">
        <f t="shared" si="413"/>
        <v>0</v>
      </c>
      <c r="AX2134" s="1">
        <f t="shared" si="414"/>
        <v>0</v>
      </c>
    </row>
    <row r="2135" spans="1:50" s="1" customFormat="1" ht="24.95" customHeight="1" outlineLevel="3" x14ac:dyDescent="0.2">
      <c r="A2135" s="21"/>
      <c r="B2135" s="22">
        <v>690</v>
      </c>
      <c r="C2135" s="22">
        <v>990</v>
      </c>
      <c r="D2135" s="22">
        <v>2978</v>
      </c>
      <c r="E2135" s="23" t="s">
        <v>6941</v>
      </c>
      <c r="F2135" s="23" t="s">
        <v>6942</v>
      </c>
      <c r="G2135" s="23" t="s">
        <v>86</v>
      </c>
      <c r="H2135" s="23" t="s">
        <v>40</v>
      </c>
      <c r="I2135" s="22">
        <v>2023</v>
      </c>
      <c r="J2135" s="23" t="s">
        <v>6943</v>
      </c>
      <c r="K2135" s="22">
        <v>9785916718263</v>
      </c>
      <c r="L2135" s="23" t="s">
        <v>6944</v>
      </c>
      <c r="M2135" s="22">
        <v>224</v>
      </c>
      <c r="N2135" s="24">
        <v>0.26</v>
      </c>
      <c r="O2135" s="22">
        <v>120</v>
      </c>
      <c r="P2135" s="22">
        <v>180</v>
      </c>
      <c r="Q2135" s="22">
        <v>20</v>
      </c>
      <c r="R2135" s="23" t="s">
        <v>75</v>
      </c>
      <c r="S2135" s="23"/>
      <c r="T2135" s="25">
        <v>3000</v>
      </c>
      <c r="U2135" s="23" t="s">
        <v>44</v>
      </c>
      <c r="V2135" s="23" t="s">
        <v>64</v>
      </c>
      <c r="W2135" s="22">
        <v>10</v>
      </c>
      <c r="X2135" s="35" t="str">
        <f>HYPERLINK("https://www.alpinabook.ru/catalog/book-posle-trekh-uzhe-pozdno","ссылка на книгу")</f>
        <v>ссылка на книгу</v>
      </c>
      <c r="Y2135" s="36" t="str">
        <f>HYPERLINK("https://api-enni.alpina.ru/FilePrivilegesApproval/127","https://api-enni.alpina.ru/FilePrivilegesApproval/127")</f>
        <v>https://api-enni.alpina.ru/FilePrivilegesApproval/127</v>
      </c>
      <c r="Z2135" s="23" t="s">
        <v>1406</v>
      </c>
      <c r="AT2135" s="1">
        <f t="shared" si="410"/>
        <v>0</v>
      </c>
      <c r="AU2135" s="1">
        <f t="shared" si="411"/>
        <v>0</v>
      </c>
      <c r="AV2135" s="1">
        <f t="shared" si="412"/>
        <v>0</v>
      </c>
      <c r="AW2135" s="1">
        <f t="shared" si="413"/>
        <v>0</v>
      </c>
      <c r="AX2135" s="1">
        <f t="shared" si="414"/>
        <v>0</v>
      </c>
    </row>
    <row r="2136" spans="1:50" s="1" customFormat="1" ht="24.95" customHeight="1" outlineLevel="3" x14ac:dyDescent="0.2">
      <c r="A2136" s="21"/>
      <c r="B2136" s="22">
        <v>590</v>
      </c>
      <c r="C2136" s="22">
        <v>840</v>
      </c>
      <c r="D2136" s="22">
        <v>3371</v>
      </c>
      <c r="E2136" s="23" t="s">
        <v>6941</v>
      </c>
      <c r="F2136" s="23" t="s">
        <v>6945</v>
      </c>
      <c r="G2136" s="23" t="s">
        <v>86</v>
      </c>
      <c r="H2136" s="23" t="s">
        <v>40</v>
      </c>
      <c r="I2136" s="22">
        <v>2024</v>
      </c>
      <c r="J2136" s="23" t="s">
        <v>6946</v>
      </c>
      <c r="K2136" s="22">
        <v>9785916715798</v>
      </c>
      <c r="L2136" s="23" t="s">
        <v>6947</v>
      </c>
      <c r="M2136" s="22">
        <v>128</v>
      </c>
      <c r="N2136" s="24">
        <v>0.16</v>
      </c>
      <c r="O2136" s="22">
        <v>120</v>
      </c>
      <c r="P2136" s="22">
        <v>180</v>
      </c>
      <c r="Q2136" s="22">
        <v>20</v>
      </c>
      <c r="R2136" s="23" t="s">
        <v>75</v>
      </c>
      <c r="S2136" s="23" t="s">
        <v>6948</v>
      </c>
      <c r="T2136" s="25">
        <v>1000</v>
      </c>
      <c r="U2136" s="23" t="s">
        <v>44</v>
      </c>
      <c r="V2136" s="23" t="s">
        <v>64</v>
      </c>
      <c r="W2136" s="22">
        <v>10</v>
      </c>
      <c r="X2136" s="35" t="str">
        <f>HYPERLINK("https://www.alpinabook.ru/catalog/book-posle-trekh-uzhe-pozdno-kratkaya-versiyay","ссылка на книгу")</f>
        <v>ссылка на книгу</v>
      </c>
      <c r="Y2136" s="36" t="str">
        <f>HYPERLINK("https://api-enni.alpina.ru/FilePrivilegesApproval/5","https://api-enni.alpina.ru/FilePrivilegesApproval/5")</f>
        <v>https://api-enni.alpina.ru/FilePrivilegesApproval/5</v>
      </c>
      <c r="Z2136" s="23" t="s">
        <v>3704</v>
      </c>
      <c r="AT2136" s="1">
        <f t="shared" si="410"/>
        <v>0</v>
      </c>
      <c r="AU2136" s="1">
        <f t="shared" si="411"/>
        <v>0</v>
      </c>
      <c r="AV2136" s="1">
        <f t="shared" si="412"/>
        <v>0</v>
      </c>
      <c r="AW2136" s="1">
        <f t="shared" si="413"/>
        <v>0</v>
      </c>
      <c r="AX2136" s="1">
        <f t="shared" si="414"/>
        <v>0</v>
      </c>
    </row>
    <row r="2137" spans="1:50" s="1" customFormat="1" ht="24.95" customHeight="1" outlineLevel="3" x14ac:dyDescent="0.2">
      <c r="A2137" s="21"/>
      <c r="B2137" s="22">
        <v>690</v>
      </c>
      <c r="C2137" s="22">
        <v>990</v>
      </c>
      <c r="D2137" s="22">
        <v>31634</v>
      </c>
      <c r="E2137" s="23" t="s">
        <v>6949</v>
      </c>
      <c r="F2137" s="23" t="s">
        <v>6950</v>
      </c>
      <c r="G2137" s="23" t="s">
        <v>163</v>
      </c>
      <c r="H2137" s="23"/>
      <c r="I2137" s="22">
        <v>2025</v>
      </c>
      <c r="J2137" s="23" t="s">
        <v>6951</v>
      </c>
      <c r="K2137" s="22">
        <v>9785961499650</v>
      </c>
      <c r="L2137" s="23" t="s">
        <v>6952</v>
      </c>
      <c r="M2137" s="22">
        <v>336</v>
      </c>
      <c r="N2137" s="24">
        <v>0.62</v>
      </c>
      <c r="O2137" s="22">
        <v>150</v>
      </c>
      <c r="P2137" s="22">
        <v>220</v>
      </c>
      <c r="Q2137" s="22">
        <v>6</v>
      </c>
      <c r="R2137" s="23" t="s">
        <v>43</v>
      </c>
      <c r="S2137" s="23"/>
      <c r="T2137" s="25">
        <v>3000</v>
      </c>
      <c r="U2137" s="23" t="s">
        <v>52</v>
      </c>
      <c r="V2137" s="23" t="s">
        <v>64</v>
      </c>
      <c r="W2137" s="22">
        <v>10</v>
      </c>
      <c r="X2137" s="35" t="str">
        <f>HYPERLINK("https://www.alpinabook.ru/catalog/book-pochemu-on-ne-chitaet","ссылка на книгу")</f>
        <v>ссылка на книгу</v>
      </c>
      <c r="Y2137" s="36" t="str">
        <f>HYPERLINK("https://api-enni.alpina.ru/FilePrivilegesApproval/780","https://api-enni.alpina.ru/FilePrivilegesApproval/780")</f>
        <v>https://api-enni.alpina.ru/FilePrivilegesApproval/780</v>
      </c>
      <c r="Z2137" s="23" t="s">
        <v>6953</v>
      </c>
      <c r="AT2137" s="1">
        <f t="shared" si="410"/>
        <v>0</v>
      </c>
      <c r="AU2137" s="1">
        <f t="shared" si="411"/>
        <v>0</v>
      </c>
      <c r="AV2137" s="1">
        <f t="shared" si="412"/>
        <v>0</v>
      </c>
      <c r="AW2137" s="1">
        <f t="shared" si="413"/>
        <v>0</v>
      </c>
      <c r="AX2137" s="1">
        <f t="shared" si="414"/>
        <v>0</v>
      </c>
    </row>
    <row r="2138" spans="1:50" s="1" customFormat="1" ht="24.95" customHeight="1" outlineLevel="3" x14ac:dyDescent="0.2">
      <c r="A2138" s="21"/>
      <c r="B2138" s="22">
        <v>290</v>
      </c>
      <c r="C2138" s="22">
        <v>540</v>
      </c>
      <c r="D2138" s="22">
        <v>27535</v>
      </c>
      <c r="E2138" s="23" t="s">
        <v>667</v>
      </c>
      <c r="F2138" s="23" t="s">
        <v>6954</v>
      </c>
      <c r="G2138" s="23" t="s">
        <v>86</v>
      </c>
      <c r="H2138" s="23" t="s">
        <v>40</v>
      </c>
      <c r="I2138" s="22">
        <v>2023</v>
      </c>
      <c r="J2138" s="23" t="s">
        <v>6955</v>
      </c>
      <c r="K2138" s="22">
        <v>9785001398967</v>
      </c>
      <c r="L2138" s="23" t="s">
        <v>6956</v>
      </c>
      <c r="M2138" s="22">
        <v>326</v>
      </c>
      <c r="N2138" s="24">
        <v>0.2</v>
      </c>
      <c r="O2138" s="22">
        <v>120</v>
      </c>
      <c r="P2138" s="22">
        <v>170</v>
      </c>
      <c r="Q2138" s="22">
        <v>10</v>
      </c>
      <c r="R2138" s="23" t="s">
        <v>75</v>
      </c>
      <c r="S2138" s="23" t="s">
        <v>1439</v>
      </c>
      <c r="T2138" s="25">
        <v>2000</v>
      </c>
      <c r="U2138" s="23" t="s">
        <v>44</v>
      </c>
      <c r="V2138" s="23" t="s">
        <v>64</v>
      </c>
      <c r="W2138" s="22">
        <v>10</v>
      </c>
      <c r="X2138" s="35" t="str">
        <f>HYPERLINK("https://www.alpinabook.ru/catalog/book-pravila-roditeley","ссылка на книгу")</f>
        <v>ссылка на книгу</v>
      </c>
      <c r="Y2138" s="36" t="str">
        <f>HYPERLINK("https://api-enni.alpina.ru/FilePrivilegesApproval/147","https://api-enni.alpina.ru/FilePrivilegesApproval/147")</f>
        <v>https://api-enni.alpina.ru/FilePrivilegesApproval/147</v>
      </c>
      <c r="Z2138" s="23"/>
      <c r="AT2138" s="1">
        <f t="shared" si="410"/>
        <v>0</v>
      </c>
      <c r="AU2138" s="1">
        <f t="shared" si="411"/>
        <v>0</v>
      </c>
      <c r="AV2138" s="1">
        <f t="shared" si="412"/>
        <v>0</v>
      </c>
      <c r="AW2138" s="1">
        <f t="shared" si="413"/>
        <v>0</v>
      </c>
      <c r="AX2138" s="1">
        <f t="shared" si="414"/>
        <v>0</v>
      </c>
    </row>
    <row r="2139" spans="1:50" s="1" customFormat="1" ht="24.95" customHeight="1" outlineLevel="3" x14ac:dyDescent="0.2">
      <c r="A2139" s="21"/>
      <c r="B2139" s="22">
        <v>990</v>
      </c>
      <c r="C2139" s="22">
        <v>990</v>
      </c>
      <c r="D2139" s="22">
        <v>18953</v>
      </c>
      <c r="E2139" s="23" t="s">
        <v>6957</v>
      </c>
      <c r="F2139" s="23" t="s">
        <v>6958</v>
      </c>
      <c r="G2139" s="23" t="s">
        <v>163</v>
      </c>
      <c r="H2139" s="23"/>
      <c r="I2139" s="22">
        <v>2021</v>
      </c>
      <c r="J2139" s="23" t="s">
        <v>6959</v>
      </c>
      <c r="K2139" s="22">
        <v>9785961438185</v>
      </c>
      <c r="L2139" s="23" t="s">
        <v>6960</v>
      </c>
      <c r="M2139" s="22">
        <v>184</v>
      </c>
      <c r="N2139" s="24">
        <v>0.84</v>
      </c>
      <c r="O2139" s="22">
        <v>207</v>
      </c>
      <c r="P2139" s="22">
        <v>246</v>
      </c>
      <c r="Q2139" s="22">
        <v>6</v>
      </c>
      <c r="R2139" s="23" t="s">
        <v>300</v>
      </c>
      <c r="S2139" s="23"/>
      <c r="T2139" s="25">
        <v>3000</v>
      </c>
      <c r="U2139" s="23" t="s">
        <v>52</v>
      </c>
      <c r="V2139" s="23" t="s">
        <v>64</v>
      </c>
      <c r="W2139" s="22">
        <v>10</v>
      </c>
      <c r="X2139" s="35" t="str">
        <f>HYPERLINK("https://www.alpinabook.ru/catalog/book-662752","ссылка на книгу")</f>
        <v>ссылка на книгу</v>
      </c>
      <c r="Y2139" s="36" t="str">
        <f>HYPERLINK("https://api-enni.alpina.ru/FilePrivilegesApproval/73","https://api-enni.alpina.ru/FilePrivilegesApproval/73")</f>
        <v>https://api-enni.alpina.ru/FilePrivilegesApproval/73</v>
      </c>
      <c r="Z2139" s="23"/>
      <c r="AT2139" s="1">
        <f t="shared" si="410"/>
        <v>0</v>
      </c>
      <c r="AU2139" s="1">
        <f t="shared" si="411"/>
        <v>0</v>
      </c>
      <c r="AV2139" s="1">
        <f t="shared" si="412"/>
        <v>0</v>
      </c>
      <c r="AW2139" s="1">
        <f t="shared" si="413"/>
        <v>0</v>
      </c>
      <c r="AX2139" s="1">
        <f t="shared" si="414"/>
        <v>0</v>
      </c>
    </row>
    <row r="2140" spans="1:50" s="1" customFormat="1" ht="24.95" customHeight="1" outlineLevel="3" x14ac:dyDescent="0.2">
      <c r="A2140" s="21"/>
      <c r="B2140" s="22">
        <v>590</v>
      </c>
      <c r="C2140" s="22">
        <v>840</v>
      </c>
      <c r="D2140" s="22">
        <v>7607</v>
      </c>
      <c r="E2140" s="23" t="s">
        <v>6961</v>
      </c>
      <c r="F2140" s="23" t="s">
        <v>6962</v>
      </c>
      <c r="G2140" s="23" t="s">
        <v>56</v>
      </c>
      <c r="H2140" s="23" t="s">
        <v>40</v>
      </c>
      <c r="I2140" s="22">
        <v>2025</v>
      </c>
      <c r="J2140" s="23" t="s">
        <v>6963</v>
      </c>
      <c r="K2140" s="22">
        <v>9785961467673</v>
      </c>
      <c r="L2140" s="23" t="s">
        <v>6964</v>
      </c>
      <c r="M2140" s="22">
        <v>256</v>
      </c>
      <c r="N2140" s="24">
        <v>0.41</v>
      </c>
      <c r="O2140" s="22">
        <v>146</v>
      </c>
      <c r="P2140" s="22">
        <v>216</v>
      </c>
      <c r="Q2140" s="22">
        <v>5</v>
      </c>
      <c r="R2140" s="23" t="s">
        <v>43</v>
      </c>
      <c r="S2140" s="23"/>
      <c r="T2140" s="25">
        <v>1000</v>
      </c>
      <c r="U2140" s="23" t="s">
        <v>52</v>
      </c>
      <c r="V2140" s="23" t="s">
        <v>64</v>
      </c>
      <c r="W2140" s="22">
        <v>10</v>
      </c>
      <c r="X2140" s="35" t="str">
        <f>HYPERLINK("https://www.alpinabook.ru/catalog/book-finskaya-sistema-obucheniya","ссылка на книгу")</f>
        <v>ссылка на книгу</v>
      </c>
      <c r="Y2140" s="36" t="str">
        <f>HYPERLINK("https://api-enni.alpina.ru/FilePrivilegesApproval/2","https://api-enni.alpina.ru/FilePrivilegesApproval/2")</f>
        <v>https://api-enni.alpina.ru/FilePrivilegesApproval/2</v>
      </c>
      <c r="Z2140" s="23" t="s">
        <v>431</v>
      </c>
      <c r="AT2140" s="1">
        <f t="shared" si="410"/>
        <v>0</v>
      </c>
      <c r="AU2140" s="1">
        <f t="shared" si="411"/>
        <v>0</v>
      </c>
      <c r="AV2140" s="1">
        <f t="shared" si="412"/>
        <v>0</v>
      </c>
      <c r="AW2140" s="1">
        <f t="shared" si="413"/>
        <v>0</v>
      </c>
      <c r="AX2140" s="1">
        <f t="shared" si="414"/>
        <v>0</v>
      </c>
    </row>
    <row r="2141" spans="1:50" s="1" customFormat="1" ht="24.95" customHeight="1" outlineLevel="3" x14ac:dyDescent="0.2">
      <c r="A2141" s="21"/>
      <c r="B2141" s="22">
        <v>450</v>
      </c>
      <c r="C2141" s="22">
        <v>450</v>
      </c>
      <c r="D2141" s="22">
        <v>23087</v>
      </c>
      <c r="E2141" s="23" t="s">
        <v>6965</v>
      </c>
      <c r="F2141" s="23" t="s">
        <v>6966</v>
      </c>
      <c r="G2141" s="23" t="s">
        <v>163</v>
      </c>
      <c r="H2141" s="23" t="s">
        <v>40</v>
      </c>
      <c r="I2141" s="22">
        <v>2022</v>
      </c>
      <c r="J2141" s="23" t="s">
        <v>6967</v>
      </c>
      <c r="K2141" s="22">
        <v>9785961473056</v>
      </c>
      <c r="L2141" s="23" t="s">
        <v>6968</v>
      </c>
      <c r="M2141" s="22">
        <v>368</v>
      </c>
      <c r="N2141" s="24">
        <v>0.39</v>
      </c>
      <c r="O2141" s="22">
        <v>125</v>
      </c>
      <c r="P2141" s="22">
        <v>200</v>
      </c>
      <c r="Q2141" s="22">
        <v>12</v>
      </c>
      <c r="R2141" s="23" t="s">
        <v>82</v>
      </c>
      <c r="S2141" s="23"/>
      <c r="T2141" s="25">
        <v>5000</v>
      </c>
      <c r="U2141" s="23" t="s">
        <v>44</v>
      </c>
      <c r="V2141" s="23" t="s">
        <v>59</v>
      </c>
      <c r="W2141" s="22">
        <v>10</v>
      </c>
      <c r="X2141" s="35" t="str">
        <f>HYPERLINK("https://www.alpinabook.ru/catalog/book-tsifrovaya-distsiplina","ссылка на книгу")</f>
        <v>ссылка на книгу</v>
      </c>
      <c r="Y2141" s="36" t="str">
        <f>HYPERLINK("https://api-enni.alpina.ru/FilePrivilegesApproval/122","https://api-enni.alpina.ru/FilePrivilegesApproval/122")</f>
        <v>https://api-enni.alpina.ru/FilePrivilegesApproval/122</v>
      </c>
      <c r="Z2141" s="23"/>
      <c r="AT2141" s="1">
        <f t="shared" si="410"/>
        <v>0</v>
      </c>
      <c r="AU2141" s="1">
        <f t="shared" si="411"/>
        <v>0</v>
      </c>
      <c r="AV2141" s="1">
        <f t="shared" si="412"/>
        <v>0</v>
      </c>
      <c r="AW2141" s="1">
        <f t="shared" si="413"/>
        <v>0</v>
      </c>
      <c r="AX2141" s="1">
        <f t="shared" si="414"/>
        <v>0</v>
      </c>
    </row>
    <row r="2142" spans="1:50" s="1" customFormat="1" ht="24.95" customHeight="1" outlineLevel="3" x14ac:dyDescent="0.2">
      <c r="A2142" s="21"/>
      <c r="B2142" s="22">
        <v>340</v>
      </c>
      <c r="C2142" s="22">
        <v>340</v>
      </c>
      <c r="D2142" s="22">
        <v>12817</v>
      </c>
      <c r="E2142" s="23" t="s">
        <v>6969</v>
      </c>
      <c r="F2142" s="23" t="s">
        <v>6970</v>
      </c>
      <c r="G2142" s="23" t="s">
        <v>163</v>
      </c>
      <c r="H2142" s="23" t="s">
        <v>40</v>
      </c>
      <c r="I2142" s="22">
        <v>2023</v>
      </c>
      <c r="J2142" s="23" t="s">
        <v>6971</v>
      </c>
      <c r="K2142" s="22">
        <v>9785961427448</v>
      </c>
      <c r="L2142" s="23" t="s">
        <v>6972</v>
      </c>
      <c r="M2142" s="22">
        <v>482</v>
      </c>
      <c r="N2142" s="24">
        <v>0.32</v>
      </c>
      <c r="O2142" s="22">
        <v>115</v>
      </c>
      <c r="P2142" s="22">
        <v>165</v>
      </c>
      <c r="Q2142" s="22">
        <v>6</v>
      </c>
      <c r="R2142" s="23" t="s">
        <v>75</v>
      </c>
      <c r="S2142" s="23" t="s">
        <v>6937</v>
      </c>
      <c r="T2142" s="25">
        <v>5000</v>
      </c>
      <c r="U2142" s="23" t="s">
        <v>44</v>
      </c>
      <c r="V2142" s="23" t="s">
        <v>64</v>
      </c>
      <c r="W2142" s="22">
        <v>10</v>
      </c>
      <c r="X2142" s="35" t="str">
        <f>HYPERLINK("https://www.alpinabook.ru/catalog/book-chego-khochet-vash-malysh","ссылка на книгу")</f>
        <v>ссылка на книгу</v>
      </c>
      <c r="Y2142" s="36" t="str">
        <f>HYPERLINK("https://api-enni.alpina.ru/FilePrivilegesApproval/140","https://api-enni.alpina.ru/FilePrivilegesApproval/140")</f>
        <v>https://api-enni.alpina.ru/FilePrivilegesApproval/140</v>
      </c>
      <c r="Z2142" s="23"/>
      <c r="AT2142" s="1">
        <f t="shared" si="410"/>
        <v>0</v>
      </c>
      <c r="AU2142" s="1">
        <f t="shared" si="411"/>
        <v>0</v>
      </c>
      <c r="AV2142" s="1">
        <f t="shared" si="412"/>
        <v>0</v>
      </c>
      <c r="AW2142" s="1">
        <f t="shared" si="413"/>
        <v>0</v>
      </c>
      <c r="AX2142" s="1">
        <f t="shared" si="414"/>
        <v>0</v>
      </c>
    </row>
    <row r="2143" spans="1:50" ht="11.1" customHeight="1" outlineLevel="2" x14ac:dyDescent="0.2">
      <c r="A2143" s="40" t="s">
        <v>6973</v>
      </c>
      <c r="B2143" s="40"/>
      <c r="C2143" s="40"/>
      <c r="D2143" s="40"/>
      <c r="E2143" s="40"/>
      <c r="F2143" s="40"/>
      <c r="G2143" s="40"/>
      <c r="H2143" s="40"/>
      <c r="I2143" s="40"/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20"/>
    </row>
    <row r="2144" spans="1:50" s="1" customFormat="1" ht="24.95" customHeight="1" outlineLevel="3" x14ac:dyDescent="0.2">
      <c r="A2144" s="11"/>
      <c r="B2144" s="12">
        <v>290</v>
      </c>
      <c r="C2144" s="12">
        <v>440</v>
      </c>
      <c r="D2144" s="12">
        <v>12661</v>
      </c>
      <c r="E2144" s="13" t="s">
        <v>6974</v>
      </c>
      <c r="F2144" s="13" t="s">
        <v>6975</v>
      </c>
      <c r="G2144" s="13" t="s">
        <v>163</v>
      </c>
      <c r="H2144" s="13" t="s">
        <v>40</v>
      </c>
      <c r="I2144" s="12">
        <v>2024</v>
      </c>
      <c r="J2144" s="13" t="s">
        <v>6976</v>
      </c>
      <c r="K2144" s="12">
        <v>9785961426540</v>
      </c>
      <c r="L2144" s="13" t="s">
        <v>6977</v>
      </c>
      <c r="M2144" s="12">
        <v>333</v>
      </c>
      <c r="N2144" s="14">
        <v>0.22</v>
      </c>
      <c r="O2144" s="12">
        <v>115</v>
      </c>
      <c r="P2144" s="12">
        <v>165</v>
      </c>
      <c r="Q2144" s="12">
        <v>18</v>
      </c>
      <c r="R2144" s="13" t="s">
        <v>75</v>
      </c>
      <c r="S2144" s="13" t="s">
        <v>6937</v>
      </c>
      <c r="T2144" s="15">
        <v>3000</v>
      </c>
      <c r="U2144" s="13" t="s">
        <v>44</v>
      </c>
      <c r="V2144" s="13" t="s">
        <v>59</v>
      </c>
      <c r="W2144" s="12">
        <v>10</v>
      </c>
      <c r="X2144" s="33" t="str">
        <f>HYPERLINK("https://www.alpinabook.ru/catalog/book-deti-s-neogranichennymi-vozmozhnostyami-metod","ссылка на книгу")</f>
        <v>ссылка на книгу</v>
      </c>
      <c r="Y2144" s="34" t="str">
        <f>HYPERLINK("https://api-enni.alpina.ru/FilePrivilegesApproval/122","https://api-enni.alpina.ru/FilePrivilegesApproval/122")</f>
        <v>https://api-enni.alpina.ru/FilePrivilegesApproval/122</v>
      </c>
      <c r="Z2144" s="13"/>
      <c r="AT2144" s="1">
        <f t="shared" ref="AT2144:AT2149" si="415">IF($A2144&lt;&gt;0,1,0)</f>
        <v>0</v>
      </c>
      <c r="AU2144" s="1">
        <f t="shared" ref="AU2144:AU2149" si="416">$A2144*$B2144</f>
        <v>0</v>
      </c>
      <c r="AV2144" s="1">
        <f t="shared" ref="AV2144:AV2149" si="417">$A2144*$N2144</f>
        <v>0</v>
      </c>
      <c r="AW2144" s="1">
        <f t="shared" ref="AW2144:AW2149" si="418">IF($Q2144=0,0,INT($A2144/$Q2144))</f>
        <v>0</v>
      </c>
      <c r="AX2144" s="1">
        <f t="shared" ref="AX2144:AX2149" si="419">$A2144-$AW2144*$Q2144</f>
        <v>0</v>
      </c>
    </row>
    <row r="2145" spans="1:50" s="1" customFormat="1" ht="24.95" customHeight="1" outlineLevel="3" x14ac:dyDescent="0.2">
      <c r="A2145" s="11"/>
      <c r="B2145" s="12">
        <v>290</v>
      </c>
      <c r="C2145" s="12">
        <v>290</v>
      </c>
      <c r="D2145" s="12">
        <v>13921</v>
      </c>
      <c r="E2145" s="13" t="s">
        <v>6978</v>
      </c>
      <c r="F2145" s="13" t="s">
        <v>6979</v>
      </c>
      <c r="G2145" s="13" t="s">
        <v>163</v>
      </c>
      <c r="H2145" s="13"/>
      <c r="I2145" s="12">
        <v>2019</v>
      </c>
      <c r="J2145" s="13" t="s">
        <v>6980</v>
      </c>
      <c r="K2145" s="12">
        <v>9785961428223</v>
      </c>
      <c r="L2145" s="13" t="s">
        <v>6981</v>
      </c>
      <c r="M2145" s="12">
        <v>190</v>
      </c>
      <c r="N2145" s="14">
        <v>0.13</v>
      </c>
      <c r="O2145" s="12">
        <v>115</v>
      </c>
      <c r="P2145" s="12">
        <v>165</v>
      </c>
      <c r="Q2145" s="12">
        <v>16</v>
      </c>
      <c r="R2145" s="13" t="s">
        <v>75</v>
      </c>
      <c r="S2145" s="13" t="s">
        <v>6937</v>
      </c>
      <c r="T2145" s="15">
        <v>3000</v>
      </c>
      <c r="U2145" s="13" t="s">
        <v>44</v>
      </c>
      <c r="V2145" s="13" t="s">
        <v>64</v>
      </c>
      <c r="W2145" s="12">
        <v>10</v>
      </c>
      <c r="X2145" s="33" t="str">
        <f>HYPERLINK("https://www.alpinabook.ru/catalog/book-589251","ссылка на книгу")</f>
        <v>ссылка на книгу</v>
      </c>
      <c r="Y2145" s="34" t="str">
        <f>HYPERLINK("https://api-enni.alpina.ru/FilePrivilegesApproval/37","https://api-enni.alpina.ru/FilePrivilegesApproval/37")</f>
        <v>https://api-enni.alpina.ru/FilePrivilegesApproval/37</v>
      </c>
      <c r="Z2145" s="13"/>
      <c r="AT2145" s="1">
        <f t="shared" si="415"/>
        <v>0</v>
      </c>
      <c r="AU2145" s="1">
        <f t="shared" si="416"/>
        <v>0</v>
      </c>
      <c r="AV2145" s="1">
        <f t="shared" si="417"/>
        <v>0</v>
      </c>
      <c r="AW2145" s="1">
        <f t="shared" si="418"/>
        <v>0</v>
      </c>
      <c r="AX2145" s="1">
        <f t="shared" si="419"/>
        <v>0</v>
      </c>
    </row>
    <row r="2146" spans="1:50" s="1" customFormat="1" ht="24.95" customHeight="1" outlineLevel="3" x14ac:dyDescent="0.2">
      <c r="A2146" s="11"/>
      <c r="B2146" s="12">
        <v>450</v>
      </c>
      <c r="C2146" s="12">
        <v>690</v>
      </c>
      <c r="D2146" s="12">
        <v>31552</v>
      </c>
      <c r="E2146" s="13" t="s">
        <v>6933</v>
      </c>
      <c r="F2146" s="13" t="s">
        <v>6982</v>
      </c>
      <c r="G2146" s="13" t="s">
        <v>163</v>
      </c>
      <c r="H2146" s="13" t="s">
        <v>236</v>
      </c>
      <c r="I2146" s="12">
        <v>2024</v>
      </c>
      <c r="J2146" s="13" t="s">
        <v>6983</v>
      </c>
      <c r="K2146" s="12">
        <v>9785961499223</v>
      </c>
      <c r="L2146" s="13" t="s">
        <v>6984</v>
      </c>
      <c r="M2146" s="12">
        <v>320</v>
      </c>
      <c r="N2146" s="14">
        <v>0.21</v>
      </c>
      <c r="O2146" s="12">
        <v>120</v>
      </c>
      <c r="P2146" s="12">
        <v>170</v>
      </c>
      <c r="Q2146" s="12">
        <v>24</v>
      </c>
      <c r="R2146" s="13" t="s">
        <v>75</v>
      </c>
      <c r="S2146" s="13" t="s">
        <v>6937</v>
      </c>
      <c r="T2146" s="15">
        <v>2000</v>
      </c>
      <c r="U2146" s="13" t="s">
        <v>44</v>
      </c>
      <c r="V2146" s="13" t="s">
        <v>64</v>
      </c>
      <c r="W2146" s="12">
        <v>10</v>
      </c>
      <c r="X2146" s="33" t="str">
        <f>HYPERLINK("https://www.alpinabook.ru/catalog/book-ne-krichite-na-detey","ссылка на книгу")</f>
        <v>ссылка на книгу</v>
      </c>
      <c r="Y2146" s="34" t="str">
        <f>HYPERLINK("https://api-enni.alpina.ru/FilePrivilegesApproval/580","https://api-enni.alpina.ru/FilePrivilegesApproval/580")</f>
        <v>https://api-enni.alpina.ru/FilePrivilegesApproval/580</v>
      </c>
      <c r="Z2146" s="13"/>
      <c r="AT2146" s="1">
        <f t="shared" si="415"/>
        <v>0</v>
      </c>
      <c r="AU2146" s="1">
        <f t="shared" si="416"/>
        <v>0</v>
      </c>
      <c r="AV2146" s="1">
        <f t="shared" si="417"/>
        <v>0</v>
      </c>
      <c r="AW2146" s="1">
        <f t="shared" si="418"/>
        <v>0</v>
      </c>
      <c r="AX2146" s="1">
        <f t="shared" si="419"/>
        <v>0</v>
      </c>
    </row>
    <row r="2147" spans="1:50" s="1" customFormat="1" ht="24.95" customHeight="1" outlineLevel="3" x14ac:dyDescent="0.2">
      <c r="A2147" s="11"/>
      <c r="B2147" s="12">
        <v>450</v>
      </c>
      <c r="C2147" s="12">
        <v>690</v>
      </c>
      <c r="D2147" s="12">
        <v>20893</v>
      </c>
      <c r="E2147" s="13" t="s">
        <v>6985</v>
      </c>
      <c r="F2147" s="13" t="s">
        <v>6986</v>
      </c>
      <c r="G2147" s="13" t="s">
        <v>163</v>
      </c>
      <c r="H2147" s="13" t="s">
        <v>850</v>
      </c>
      <c r="I2147" s="12">
        <v>2022</v>
      </c>
      <c r="J2147" s="13" t="s">
        <v>6987</v>
      </c>
      <c r="K2147" s="12">
        <v>9785961441635</v>
      </c>
      <c r="L2147" s="13" t="s">
        <v>6988</v>
      </c>
      <c r="M2147" s="12">
        <v>304</v>
      </c>
      <c r="N2147" s="14">
        <v>0.32</v>
      </c>
      <c r="O2147" s="12">
        <v>125</v>
      </c>
      <c r="P2147" s="12">
        <v>200</v>
      </c>
      <c r="Q2147" s="12">
        <v>16</v>
      </c>
      <c r="R2147" s="13" t="s">
        <v>82</v>
      </c>
      <c r="S2147" s="13"/>
      <c r="T2147" s="15">
        <v>3000</v>
      </c>
      <c r="U2147" s="13" t="s">
        <v>44</v>
      </c>
      <c r="V2147" s="13" t="s">
        <v>64</v>
      </c>
      <c r="W2147" s="12">
        <v>10</v>
      </c>
      <c r="X2147" s="33" t="str">
        <f>HYPERLINK("https://www.alpinabook.ru/catalog/book-samootsenka-u-detey-i-podrostkov","ссылка на книгу")</f>
        <v>ссылка на книгу</v>
      </c>
      <c r="Y2147" s="34" t="str">
        <f>HYPERLINK("https://api-enni.alpina.ru/FilePrivilegesApproval/122","https://api-enni.alpina.ru/FilePrivilegesApproval/122")</f>
        <v>https://api-enni.alpina.ru/FilePrivilegesApproval/122</v>
      </c>
      <c r="Z2147" s="13"/>
      <c r="AT2147" s="1">
        <f t="shared" si="415"/>
        <v>0</v>
      </c>
      <c r="AU2147" s="1">
        <f t="shared" si="416"/>
        <v>0</v>
      </c>
      <c r="AV2147" s="1">
        <f t="shared" si="417"/>
        <v>0</v>
      </c>
      <c r="AW2147" s="1">
        <f t="shared" si="418"/>
        <v>0</v>
      </c>
      <c r="AX2147" s="1">
        <f t="shared" si="419"/>
        <v>0</v>
      </c>
    </row>
    <row r="2148" spans="1:50" s="1" customFormat="1" ht="24.95" customHeight="1" outlineLevel="3" x14ac:dyDescent="0.2">
      <c r="A2148" s="11"/>
      <c r="B2148" s="12">
        <v>450</v>
      </c>
      <c r="C2148" s="12">
        <v>450</v>
      </c>
      <c r="D2148" s="12">
        <v>26043</v>
      </c>
      <c r="E2148" s="13" t="s">
        <v>6989</v>
      </c>
      <c r="F2148" s="13" t="s">
        <v>6990</v>
      </c>
      <c r="G2148" s="13" t="s">
        <v>163</v>
      </c>
      <c r="H2148" s="13" t="s">
        <v>40</v>
      </c>
      <c r="I2148" s="12">
        <v>2022</v>
      </c>
      <c r="J2148" s="13" t="s">
        <v>6991</v>
      </c>
      <c r="K2148" s="12">
        <v>9785961480092</v>
      </c>
      <c r="L2148" s="13" t="s">
        <v>6992</v>
      </c>
      <c r="M2148" s="12">
        <v>352</v>
      </c>
      <c r="N2148" s="14">
        <v>0.36</v>
      </c>
      <c r="O2148" s="12">
        <v>125</v>
      </c>
      <c r="P2148" s="12">
        <v>200</v>
      </c>
      <c r="Q2148" s="12">
        <v>14</v>
      </c>
      <c r="R2148" s="13" t="s">
        <v>82</v>
      </c>
      <c r="S2148" s="13"/>
      <c r="T2148" s="15">
        <v>2000</v>
      </c>
      <c r="U2148" s="13" t="s">
        <v>44</v>
      </c>
      <c r="V2148" s="13" t="s">
        <v>59</v>
      </c>
      <c r="W2148" s="12">
        <v>10</v>
      </c>
      <c r="X2148" s="33" t="str">
        <f>HYPERLINK("https://www.alpinabook.ru/catalog/book-sekrety-schastlivyh-semey-kak-umenshit-haos","ссылка на книгу")</f>
        <v>ссылка на книгу</v>
      </c>
      <c r="Y2148" s="34" t="str">
        <f>HYPERLINK("https://api-enni.alpina.ru/FilePrivilegesApproval/156","https://api-enni.alpina.ru/FilePrivilegesApproval/156")</f>
        <v>https://api-enni.alpina.ru/FilePrivilegesApproval/156</v>
      </c>
      <c r="Z2148" s="13"/>
      <c r="AT2148" s="1">
        <f t="shared" si="415"/>
        <v>0</v>
      </c>
      <c r="AU2148" s="1">
        <f t="shared" si="416"/>
        <v>0</v>
      </c>
      <c r="AV2148" s="1">
        <f t="shared" si="417"/>
        <v>0</v>
      </c>
      <c r="AW2148" s="1">
        <f t="shared" si="418"/>
        <v>0</v>
      </c>
      <c r="AX2148" s="1">
        <f t="shared" si="419"/>
        <v>0</v>
      </c>
    </row>
    <row r="2149" spans="1:50" s="1" customFormat="1" ht="24.95" customHeight="1" outlineLevel="3" x14ac:dyDescent="0.2">
      <c r="A2149" s="11"/>
      <c r="B2149" s="12">
        <v>450</v>
      </c>
      <c r="C2149" s="12">
        <v>450</v>
      </c>
      <c r="D2149" s="12">
        <v>22672</v>
      </c>
      <c r="E2149" s="13" t="s">
        <v>6993</v>
      </c>
      <c r="F2149" s="13" t="s">
        <v>6994</v>
      </c>
      <c r="G2149" s="13" t="s">
        <v>163</v>
      </c>
      <c r="H2149" s="13" t="s">
        <v>40</v>
      </c>
      <c r="I2149" s="12">
        <v>2022</v>
      </c>
      <c r="J2149" s="13" t="s">
        <v>6995</v>
      </c>
      <c r="K2149" s="12">
        <v>9785961461138</v>
      </c>
      <c r="L2149" s="13" t="s">
        <v>6996</v>
      </c>
      <c r="M2149" s="12">
        <v>368</v>
      </c>
      <c r="N2149" s="14">
        <v>0.38</v>
      </c>
      <c r="O2149" s="12">
        <v>125</v>
      </c>
      <c r="P2149" s="12">
        <v>200</v>
      </c>
      <c r="Q2149" s="12">
        <v>12</v>
      </c>
      <c r="R2149" s="13" t="s">
        <v>82</v>
      </c>
      <c r="S2149" s="13"/>
      <c r="T2149" s="15">
        <v>5000</v>
      </c>
      <c r="U2149" s="13" t="s">
        <v>44</v>
      </c>
      <c r="V2149" s="13" t="s">
        <v>59</v>
      </c>
      <c r="W2149" s="12">
        <v>10</v>
      </c>
      <c r="X2149" s="33" t="str">
        <f>HYPERLINK("https://www.alpinabook.ru/catalog/book-trevozhnye-roditeli","ссылка на книгу")</f>
        <v>ссылка на книгу</v>
      </c>
      <c r="Y2149" s="34" t="str">
        <f>HYPERLINK("https://api-enni.alpina.ru/FilePrivilegesApproval/122","https://api-enni.alpina.ru/FilePrivilegesApproval/122")</f>
        <v>https://api-enni.alpina.ru/FilePrivilegesApproval/122</v>
      </c>
      <c r="Z2149" s="13"/>
      <c r="AT2149" s="1">
        <f t="shared" si="415"/>
        <v>0</v>
      </c>
      <c r="AU2149" s="1">
        <f t="shared" si="416"/>
        <v>0</v>
      </c>
      <c r="AV2149" s="1">
        <f t="shared" si="417"/>
        <v>0</v>
      </c>
      <c r="AW2149" s="1">
        <f t="shared" si="418"/>
        <v>0</v>
      </c>
      <c r="AX2149" s="1">
        <f t="shared" si="419"/>
        <v>0</v>
      </c>
    </row>
    <row r="2150" spans="1:50" ht="11.1" customHeight="1" outlineLevel="2" x14ac:dyDescent="0.2">
      <c r="A2150" s="40" t="s">
        <v>6997</v>
      </c>
      <c r="B2150" s="40"/>
      <c r="C2150" s="40"/>
      <c r="D2150" s="40"/>
      <c r="E2150" s="40"/>
      <c r="F2150" s="40"/>
      <c r="G2150" s="40"/>
      <c r="H2150" s="40"/>
      <c r="I2150" s="40"/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20"/>
    </row>
    <row r="2151" spans="1:50" s="1" customFormat="1" ht="24.95" customHeight="1" outlineLevel="3" x14ac:dyDescent="0.2">
      <c r="A2151" s="11"/>
      <c r="B2151" s="12">
        <v>440</v>
      </c>
      <c r="C2151" s="12">
        <v>440</v>
      </c>
      <c r="D2151" s="12">
        <v>11206</v>
      </c>
      <c r="E2151" s="13" t="s">
        <v>6998</v>
      </c>
      <c r="F2151" s="13" t="s">
        <v>6999</v>
      </c>
      <c r="G2151" s="13" t="s">
        <v>86</v>
      </c>
      <c r="H2151" s="13" t="s">
        <v>40</v>
      </c>
      <c r="I2151" s="12">
        <v>2020</v>
      </c>
      <c r="J2151" s="13" t="s">
        <v>7000</v>
      </c>
      <c r="K2151" s="12">
        <v>9785001391463</v>
      </c>
      <c r="L2151" s="13" t="s">
        <v>7001</v>
      </c>
      <c r="M2151" s="12">
        <v>345</v>
      </c>
      <c r="N2151" s="14">
        <v>0.4</v>
      </c>
      <c r="O2151" s="12">
        <v>122</v>
      </c>
      <c r="P2151" s="12">
        <v>180</v>
      </c>
      <c r="Q2151" s="12">
        <v>8</v>
      </c>
      <c r="R2151" s="13" t="s">
        <v>75</v>
      </c>
      <c r="S2151" s="13" t="s">
        <v>6948</v>
      </c>
      <c r="T2151" s="15">
        <v>3000</v>
      </c>
      <c r="U2151" s="13" t="s">
        <v>44</v>
      </c>
      <c r="V2151" s="13" t="s">
        <v>64</v>
      </c>
      <c r="W2151" s="12">
        <v>10</v>
      </c>
      <c r="X2151" s="33" t="str">
        <f>HYPERLINK("https://www.alpinabook.ru/catalog/book-551310","ссылка на книгу")</f>
        <v>ссылка на книгу</v>
      </c>
      <c r="Y2151" s="34" t="str">
        <f>HYPERLINK("https://api-enni.alpina.ru/FilePrivilegesApproval/270","https://api-enni.alpina.ru/FilePrivilegesApproval/270")</f>
        <v>https://api-enni.alpina.ru/FilePrivilegesApproval/270</v>
      </c>
      <c r="Z2151" s="13"/>
      <c r="AT2151" s="1">
        <f>IF($A2151&lt;&gt;0,1,0)</f>
        <v>0</v>
      </c>
      <c r="AU2151" s="1">
        <f>$A2151*$B2151</f>
        <v>0</v>
      </c>
      <c r="AV2151" s="1">
        <f>$A2151*$N2151</f>
        <v>0</v>
      </c>
      <c r="AW2151" s="1">
        <f>IF($Q2151=0,0,INT($A2151/$Q2151))</f>
        <v>0</v>
      </c>
      <c r="AX2151" s="1">
        <f>$A2151-$AW2151*$Q2151</f>
        <v>0</v>
      </c>
    </row>
    <row r="2152" spans="1:50" s="1" customFormat="1" ht="24.95" customHeight="1" outlineLevel="3" x14ac:dyDescent="0.2">
      <c r="A2152" s="11"/>
      <c r="B2152" s="12">
        <v>590</v>
      </c>
      <c r="C2152" s="12">
        <v>840</v>
      </c>
      <c r="D2152" s="12">
        <v>27663</v>
      </c>
      <c r="E2152" s="13" t="s">
        <v>7002</v>
      </c>
      <c r="F2152" s="13" t="s">
        <v>7003</v>
      </c>
      <c r="G2152" s="13" t="s">
        <v>97</v>
      </c>
      <c r="H2152" s="13"/>
      <c r="I2152" s="12">
        <v>2023</v>
      </c>
      <c r="J2152" s="13" t="s">
        <v>7004</v>
      </c>
      <c r="K2152" s="12">
        <v>9785206001662</v>
      </c>
      <c r="L2152" s="13" t="s">
        <v>7005</v>
      </c>
      <c r="M2152" s="12">
        <v>28</v>
      </c>
      <c r="N2152" s="14">
        <v>0.31</v>
      </c>
      <c r="O2152" s="12">
        <v>215</v>
      </c>
      <c r="P2152" s="12">
        <v>236</v>
      </c>
      <c r="Q2152" s="12">
        <v>10</v>
      </c>
      <c r="R2152" s="13" t="s">
        <v>167</v>
      </c>
      <c r="S2152" s="13"/>
      <c r="T2152" s="15">
        <v>1505</v>
      </c>
      <c r="U2152" s="13" t="s">
        <v>52</v>
      </c>
      <c r="V2152" s="13" t="s">
        <v>269</v>
      </c>
      <c r="W2152" s="12">
        <v>10</v>
      </c>
      <c r="X2152" s="33" t="str">
        <f>HYPERLINK("https://www.alpinabook.ru/catalog/book-doroga-pod-zvezdami","ссылка на книгу")</f>
        <v>ссылка на книгу</v>
      </c>
      <c r="Y2152" s="34" t="str">
        <f>HYPERLINK("https://api-enni.alpina.ru/FilePrivilegesApproval/223","https://api-enni.alpina.ru/FilePrivilegesApproval/223")</f>
        <v>https://api-enni.alpina.ru/FilePrivilegesApproval/223</v>
      </c>
      <c r="Z2152" s="13"/>
      <c r="AT2152" s="1">
        <f>IF($A2152&lt;&gt;0,1,0)</f>
        <v>0</v>
      </c>
      <c r="AU2152" s="1">
        <f>$A2152*$B2152</f>
        <v>0</v>
      </c>
      <c r="AV2152" s="1">
        <f>$A2152*$N2152</f>
        <v>0</v>
      </c>
      <c r="AW2152" s="1">
        <f>IF($Q2152=0,0,INT($A2152/$Q2152))</f>
        <v>0</v>
      </c>
      <c r="AX2152" s="1">
        <f>$A2152-$AW2152*$Q2152</f>
        <v>0</v>
      </c>
    </row>
    <row r="2153" spans="1:50" s="1" customFormat="1" ht="24.95" customHeight="1" outlineLevel="3" x14ac:dyDescent="0.2">
      <c r="A2153" s="11"/>
      <c r="B2153" s="15">
        <v>1290</v>
      </c>
      <c r="C2153" s="15">
        <v>1790</v>
      </c>
      <c r="D2153" s="12">
        <v>11366</v>
      </c>
      <c r="E2153" s="13" t="s">
        <v>7006</v>
      </c>
      <c r="F2153" s="13" t="s">
        <v>7007</v>
      </c>
      <c r="G2153" s="13" t="s">
        <v>163</v>
      </c>
      <c r="H2153" s="13"/>
      <c r="I2153" s="12">
        <v>2024</v>
      </c>
      <c r="J2153" s="13" t="s">
        <v>7008</v>
      </c>
      <c r="K2153" s="12">
        <v>9785961429428</v>
      </c>
      <c r="L2153" s="13" t="s">
        <v>7009</v>
      </c>
      <c r="M2153" s="12">
        <v>309</v>
      </c>
      <c r="N2153" s="14">
        <v>1.1599999999999999</v>
      </c>
      <c r="O2153" s="12">
        <v>220</v>
      </c>
      <c r="P2153" s="12">
        <v>250</v>
      </c>
      <c r="Q2153" s="12">
        <v>5</v>
      </c>
      <c r="R2153" s="13" t="s">
        <v>167</v>
      </c>
      <c r="S2153" s="13"/>
      <c r="T2153" s="15">
        <v>1500</v>
      </c>
      <c r="U2153" s="13" t="s">
        <v>52</v>
      </c>
      <c r="V2153" s="13" t="s">
        <v>269</v>
      </c>
      <c r="W2153" s="12">
        <v>10</v>
      </c>
      <c r="X2153" s="33" t="str">
        <f>HYPERLINK("https://www.alpinabook.ru/catalog/book-edim-kak-v-skazke","ссылка на книгу")</f>
        <v>ссылка на книгу</v>
      </c>
      <c r="Y2153" s="34" t="str">
        <f>HYPERLINK("https://api-enni.alpina.ru/FilePrivilegesApproval/108","https://api-enni.alpina.ru/FilePrivilegesApproval/108")</f>
        <v>https://api-enni.alpina.ru/FilePrivilegesApproval/108</v>
      </c>
      <c r="Z2153" s="13"/>
      <c r="AT2153" s="1">
        <f>IF($A2153&lt;&gt;0,1,0)</f>
        <v>0</v>
      </c>
      <c r="AU2153" s="1">
        <f>$A2153*$B2153</f>
        <v>0</v>
      </c>
      <c r="AV2153" s="1">
        <f>$A2153*$N2153</f>
        <v>0</v>
      </c>
      <c r="AW2153" s="1">
        <f>IF($Q2153=0,0,INT($A2153/$Q2153))</f>
        <v>0</v>
      </c>
      <c r="AX2153" s="1">
        <f>$A2153-$AW2153*$Q2153</f>
        <v>0</v>
      </c>
    </row>
    <row r="2154" spans="1:50" s="1" customFormat="1" ht="24.95" customHeight="1" outlineLevel="3" x14ac:dyDescent="0.2">
      <c r="A2154" s="26"/>
      <c r="B2154" s="27">
        <v>400</v>
      </c>
      <c r="C2154" s="27">
        <v>640</v>
      </c>
      <c r="D2154" s="27">
        <v>4601</v>
      </c>
      <c r="E2154" s="29" t="s">
        <v>7010</v>
      </c>
      <c r="F2154" s="29" t="s">
        <v>7011</v>
      </c>
      <c r="G2154" s="29" t="s">
        <v>86</v>
      </c>
      <c r="H2154" s="29" t="s">
        <v>40</v>
      </c>
      <c r="I2154" s="27">
        <v>2017</v>
      </c>
      <c r="J2154" s="29" t="s">
        <v>7012</v>
      </c>
      <c r="K2154" s="27">
        <v>9785916715088</v>
      </c>
      <c r="L2154" s="29" t="s">
        <v>7013</v>
      </c>
      <c r="M2154" s="27">
        <v>160</v>
      </c>
      <c r="N2154" s="30">
        <v>0.19</v>
      </c>
      <c r="O2154" s="27">
        <v>122</v>
      </c>
      <c r="P2154" s="27">
        <v>180</v>
      </c>
      <c r="Q2154" s="27">
        <v>12</v>
      </c>
      <c r="R2154" s="29" t="s">
        <v>75</v>
      </c>
      <c r="S2154" s="29" t="s">
        <v>7014</v>
      </c>
      <c r="T2154" s="28">
        <v>4000</v>
      </c>
      <c r="U2154" s="29" t="s">
        <v>44</v>
      </c>
      <c r="V2154" s="29" t="s">
        <v>64</v>
      </c>
      <c r="W2154" s="27">
        <v>10</v>
      </c>
      <c r="X2154" s="37" t="str">
        <f>HYPERLINK("https://www.alpinabook.ru/catalog/book-95703","ссылка на книгу")</f>
        <v>ссылка на книгу</v>
      </c>
      <c r="Y2154" s="38" t="str">
        <f>HYPERLINK("https://api-enni.alpina.ru/FilePrivilegesApproval/5","https://api-enni.alpina.ru/FilePrivilegesApproval/5")</f>
        <v>https://api-enni.alpina.ru/FilePrivilegesApproval/5</v>
      </c>
      <c r="Z2154" s="29"/>
      <c r="AT2154" s="1">
        <f>IF($A2154&lt;&gt;0,1,0)</f>
        <v>0</v>
      </c>
      <c r="AU2154" s="1">
        <f>$A2154*$B2154</f>
        <v>0</v>
      </c>
      <c r="AV2154" s="1">
        <f>$A2154*$N2154</f>
        <v>0</v>
      </c>
      <c r="AW2154" s="1">
        <f>IF($Q2154=0,0,INT($A2154/$Q2154))</f>
        <v>0</v>
      </c>
      <c r="AX2154" s="1">
        <f>$A2154-$AW2154*$Q2154</f>
        <v>0</v>
      </c>
    </row>
    <row r="2155" spans="1:50" s="1" customFormat="1" ht="24.95" customHeight="1" outlineLevel="3" x14ac:dyDescent="0.2">
      <c r="A2155" s="11"/>
      <c r="B2155" s="12">
        <v>540</v>
      </c>
      <c r="C2155" s="12">
        <v>790</v>
      </c>
      <c r="D2155" s="12">
        <v>24370</v>
      </c>
      <c r="E2155" s="13" t="s">
        <v>7015</v>
      </c>
      <c r="F2155" s="13" t="s">
        <v>7016</v>
      </c>
      <c r="G2155" s="13" t="s">
        <v>163</v>
      </c>
      <c r="H2155" s="13"/>
      <c r="I2155" s="12">
        <v>2022</v>
      </c>
      <c r="J2155" s="13" t="s">
        <v>7017</v>
      </c>
      <c r="K2155" s="12">
        <v>9785961476484</v>
      </c>
      <c r="L2155" s="13" t="s">
        <v>7018</v>
      </c>
      <c r="M2155" s="12">
        <v>232</v>
      </c>
      <c r="N2155" s="14">
        <v>0.39</v>
      </c>
      <c r="O2155" s="12">
        <v>145</v>
      </c>
      <c r="P2155" s="12">
        <v>216</v>
      </c>
      <c r="Q2155" s="12">
        <v>14</v>
      </c>
      <c r="R2155" s="13" t="s">
        <v>43</v>
      </c>
      <c r="S2155" s="13"/>
      <c r="T2155" s="15">
        <v>4000</v>
      </c>
      <c r="U2155" s="13" t="s">
        <v>52</v>
      </c>
      <c r="V2155" s="13" t="s">
        <v>269</v>
      </c>
      <c r="W2155" s="12">
        <v>10</v>
      </c>
      <c r="X2155" s="33" t="str">
        <f>HYPERLINK("https://www.alpinabook.ru/catalog/book-my-pogavkali","ссылка на книгу")</f>
        <v>ссылка на книгу</v>
      </c>
      <c r="Y2155" s="34" t="str">
        <f>HYPERLINK("https://api-enni.alpina.ru/FilePrivilegesApproval/128","https://api-enni.alpina.ru/FilePrivilegesApproval/128")</f>
        <v>https://api-enni.alpina.ru/FilePrivilegesApproval/128</v>
      </c>
      <c r="Z2155" s="13"/>
      <c r="AT2155" s="1">
        <f>IF($A2155&lt;&gt;0,1,0)</f>
        <v>0</v>
      </c>
      <c r="AU2155" s="1">
        <f>$A2155*$B2155</f>
        <v>0</v>
      </c>
      <c r="AV2155" s="1">
        <f>$A2155*$N2155</f>
        <v>0</v>
      </c>
      <c r="AW2155" s="1">
        <f>IF($Q2155=0,0,INT($A2155/$Q2155))</f>
        <v>0</v>
      </c>
      <c r="AX2155" s="1">
        <f>$A2155-$AW2155*$Q2155</f>
        <v>0</v>
      </c>
    </row>
    <row r="2156" spans="1:50" ht="11.1" customHeight="1" outlineLevel="2" x14ac:dyDescent="0.2">
      <c r="A2156" s="40" t="s">
        <v>7019</v>
      </c>
      <c r="B2156" s="40"/>
      <c r="C2156" s="40"/>
      <c r="D2156" s="40"/>
      <c r="E2156" s="40"/>
      <c r="F2156" s="40"/>
      <c r="G2156" s="40"/>
      <c r="H2156" s="40"/>
      <c r="I2156" s="40"/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20"/>
    </row>
    <row r="2157" spans="1:50" s="1" customFormat="1" ht="24.95" customHeight="1" outlineLevel="3" x14ac:dyDescent="0.2">
      <c r="A2157" s="26"/>
      <c r="B2157" s="27">
        <v>290</v>
      </c>
      <c r="C2157" s="27">
        <v>440</v>
      </c>
      <c r="D2157" s="27">
        <v>6683</v>
      </c>
      <c r="E2157" s="29" t="s">
        <v>3670</v>
      </c>
      <c r="F2157" s="29" t="s">
        <v>7020</v>
      </c>
      <c r="G2157" s="29" t="s">
        <v>163</v>
      </c>
      <c r="H2157" s="29"/>
      <c r="I2157" s="27">
        <v>2018</v>
      </c>
      <c r="J2157" s="29" t="s">
        <v>7021</v>
      </c>
      <c r="K2157" s="27">
        <v>9785961467376</v>
      </c>
      <c r="L2157" s="29" t="s">
        <v>7022</v>
      </c>
      <c r="M2157" s="27">
        <v>216</v>
      </c>
      <c r="N2157" s="30">
        <v>0.34</v>
      </c>
      <c r="O2157" s="27">
        <v>141</v>
      </c>
      <c r="P2157" s="27">
        <v>210</v>
      </c>
      <c r="Q2157" s="27">
        <v>18</v>
      </c>
      <c r="R2157" s="29" t="s">
        <v>43</v>
      </c>
      <c r="S2157" s="29"/>
      <c r="T2157" s="28">
        <v>3000</v>
      </c>
      <c r="U2157" s="29" t="s">
        <v>44</v>
      </c>
      <c r="V2157" s="29" t="s">
        <v>64</v>
      </c>
      <c r="W2157" s="27">
        <v>10</v>
      </c>
      <c r="X2157" s="37" t="str">
        <f>HYPERLINK("https://www.alpinabook.ru/catalog/book-405232","ссылка на книгу")</f>
        <v>ссылка на книгу</v>
      </c>
      <c r="Y2157" s="38" t="str">
        <f>HYPERLINK("https://api-enni.alpina.ru/FilePrivilegesApproval/2","https://api-enni.alpina.ru/FilePrivilegesApproval/2")</f>
        <v>https://api-enni.alpina.ru/FilePrivilegesApproval/2</v>
      </c>
      <c r="Z2157" s="29"/>
      <c r="AT2157" s="1">
        <f>IF($A2157&lt;&gt;0,1,0)</f>
        <v>0</v>
      </c>
      <c r="AU2157" s="1">
        <f>$A2157*$B2157</f>
        <v>0</v>
      </c>
      <c r="AV2157" s="1">
        <f>$A2157*$N2157</f>
        <v>0</v>
      </c>
      <c r="AW2157" s="1">
        <f>IF($Q2157=0,0,INT($A2157/$Q2157))</f>
        <v>0</v>
      </c>
      <c r="AX2157" s="1">
        <f>$A2157-$AW2157*$Q2157</f>
        <v>0</v>
      </c>
    </row>
    <row r="2158" spans="1:50" s="1" customFormat="1" ht="24.95" customHeight="1" outlineLevel="3" x14ac:dyDescent="0.2">
      <c r="A2158" s="11"/>
      <c r="B2158" s="12">
        <v>790</v>
      </c>
      <c r="C2158" s="15">
        <v>1190</v>
      </c>
      <c r="D2158" s="12">
        <v>28671</v>
      </c>
      <c r="E2158" s="13" t="s">
        <v>7023</v>
      </c>
      <c r="F2158" s="13" t="s">
        <v>7024</v>
      </c>
      <c r="G2158" s="13" t="s">
        <v>163</v>
      </c>
      <c r="H2158" s="13"/>
      <c r="I2158" s="12">
        <v>2025</v>
      </c>
      <c r="J2158" s="13" t="s">
        <v>7025</v>
      </c>
      <c r="K2158" s="12">
        <v>9785961489644</v>
      </c>
      <c r="L2158" s="13" t="s">
        <v>7026</v>
      </c>
      <c r="M2158" s="12">
        <v>168</v>
      </c>
      <c r="N2158" s="14">
        <v>0.53</v>
      </c>
      <c r="O2158" s="12">
        <v>190</v>
      </c>
      <c r="P2158" s="12">
        <v>230</v>
      </c>
      <c r="Q2158" s="12">
        <v>10</v>
      </c>
      <c r="R2158" s="13" t="s">
        <v>100</v>
      </c>
      <c r="S2158" s="13"/>
      <c r="T2158" s="15">
        <v>5000</v>
      </c>
      <c r="U2158" s="13" t="s">
        <v>52</v>
      </c>
      <c r="V2158" s="13" t="s">
        <v>64</v>
      </c>
      <c r="W2158" s="12">
        <v>10</v>
      </c>
      <c r="X2158" s="33" t="str">
        <f>HYPERLINK("https://www.alpinabook.ru/catalog/book-mama-ya-poshel","ссылка на книгу")</f>
        <v>ссылка на книгу</v>
      </c>
      <c r="Y2158" s="34" t="str">
        <f>HYPERLINK("https://api-enni.alpina.ru/FilePrivilegesApproval/322","https://api-enni.alpina.ru/FilePrivilegesApproval/322")</f>
        <v>https://api-enni.alpina.ru/FilePrivilegesApproval/322</v>
      </c>
      <c r="Z2158" s="13"/>
      <c r="AT2158" s="1">
        <f>IF($A2158&lt;&gt;0,1,0)</f>
        <v>0</v>
      </c>
      <c r="AU2158" s="1">
        <f>$A2158*$B2158</f>
        <v>0</v>
      </c>
      <c r="AV2158" s="1">
        <f>$A2158*$N2158</f>
        <v>0</v>
      </c>
      <c r="AW2158" s="1">
        <f>IF($Q2158=0,0,INT($A2158/$Q2158))</f>
        <v>0</v>
      </c>
      <c r="AX2158" s="1">
        <f>$A2158-$AW2158*$Q2158</f>
        <v>0</v>
      </c>
    </row>
    <row r="2159" spans="1:50" s="1" customFormat="1" ht="24.95" customHeight="1" outlineLevel="3" x14ac:dyDescent="0.2">
      <c r="A2159" s="11"/>
      <c r="B2159" s="15">
        <v>1090</v>
      </c>
      <c r="C2159" s="15">
        <v>1590</v>
      </c>
      <c r="D2159" s="12">
        <v>26932</v>
      </c>
      <c r="E2159" s="13" t="s">
        <v>7027</v>
      </c>
      <c r="F2159" s="13" t="s">
        <v>7028</v>
      </c>
      <c r="G2159" s="13" t="s">
        <v>163</v>
      </c>
      <c r="H2159" s="13"/>
      <c r="I2159" s="12">
        <v>2024</v>
      </c>
      <c r="J2159" s="13" t="s">
        <v>7029</v>
      </c>
      <c r="K2159" s="12">
        <v>9785961483369</v>
      </c>
      <c r="L2159" s="13" t="s">
        <v>7030</v>
      </c>
      <c r="M2159" s="12">
        <v>332</v>
      </c>
      <c r="N2159" s="14">
        <v>0.96</v>
      </c>
      <c r="O2159" s="12">
        <v>220</v>
      </c>
      <c r="P2159" s="12">
        <v>220</v>
      </c>
      <c r="Q2159" s="12">
        <v>5</v>
      </c>
      <c r="R2159" s="13" t="s">
        <v>167</v>
      </c>
      <c r="S2159" s="13"/>
      <c r="T2159" s="15">
        <v>5000</v>
      </c>
      <c r="U2159" s="13" t="s">
        <v>52</v>
      </c>
      <c r="V2159" s="13" t="s">
        <v>64</v>
      </c>
      <c r="W2159" s="12">
        <v>10</v>
      </c>
      <c r="X2159" s="33" t="str">
        <f>HYPERLINK("https://www.alpinabook.ru/catalog/book-spi-malysh","ссылка на книгу")</f>
        <v>ссылка на книгу</v>
      </c>
      <c r="Y2159" s="34" t="str">
        <f>HYPERLINK("https://api-enni.alpina.ru/FilePrivilegesApproval/410","https://api-enni.alpina.ru/FilePrivilegesApproval/410")</f>
        <v>https://api-enni.alpina.ru/FilePrivilegesApproval/410</v>
      </c>
      <c r="Z2159" s="13"/>
      <c r="AT2159" s="1">
        <f>IF($A2159&lt;&gt;0,1,0)</f>
        <v>0</v>
      </c>
      <c r="AU2159" s="1">
        <f>$A2159*$B2159</f>
        <v>0</v>
      </c>
      <c r="AV2159" s="1">
        <f>$A2159*$N2159</f>
        <v>0</v>
      </c>
      <c r="AW2159" s="1">
        <f>IF($Q2159=0,0,INT($A2159/$Q2159))</f>
        <v>0</v>
      </c>
      <c r="AX2159" s="1">
        <f>$A2159-$AW2159*$Q2159</f>
        <v>0</v>
      </c>
    </row>
    <row r="2160" spans="1:50" s="1" customFormat="1" ht="24.95" customHeight="1" outlineLevel="3" x14ac:dyDescent="0.2">
      <c r="A2160" s="11"/>
      <c r="B2160" s="15">
        <v>1090</v>
      </c>
      <c r="C2160" s="15">
        <v>1590</v>
      </c>
      <c r="D2160" s="12">
        <v>31723</v>
      </c>
      <c r="E2160" s="13" t="s">
        <v>7027</v>
      </c>
      <c r="F2160" s="13" t="s">
        <v>7028</v>
      </c>
      <c r="G2160" s="13" t="s">
        <v>163</v>
      </c>
      <c r="H2160" s="13"/>
      <c r="I2160" s="12">
        <v>2024</v>
      </c>
      <c r="J2160" s="13" t="s">
        <v>7031</v>
      </c>
      <c r="K2160" s="12">
        <v>9785006300606</v>
      </c>
      <c r="L2160" s="13" t="s">
        <v>7032</v>
      </c>
      <c r="M2160" s="12">
        <v>332</v>
      </c>
      <c r="N2160" s="14">
        <v>0.98</v>
      </c>
      <c r="O2160" s="12">
        <v>220</v>
      </c>
      <c r="P2160" s="12">
        <v>220</v>
      </c>
      <c r="Q2160" s="12">
        <v>5</v>
      </c>
      <c r="R2160" s="13" t="s">
        <v>167</v>
      </c>
      <c r="S2160" s="13"/>
      <c r="T2160" s="15">
        <v>7000</v>
      </c>
      <c r="U2160" s="13" t="s">
        <v>52</v>
      </c>
      <c r="V2160" s="13" t="s">
        <v>64</v>
      </c>
      <c r="W2160" s="12">
        <v>10</v>
      </c>
      <c r="X2160" s="33" t="str">
        <f>HYPERLINK("https://www.alpinabook.ru/catalog/book-spi-malysh","ссылка на книгу")</f>
        <v>ссылка на книгу</v>
      </c>
      <c r="Y2160" s="34" t="str">
        <f>HYPERLINK("https://api-enni.alpina.ru/FilePrivilegesApproval/723","https://api-enni.alpina.ru/FilePrivilegesApproval/723")</f>
        <v>https://api-enni.alpina.ru/FilePrivilegesApproval/723</v>
      </c>
      <c r="Z2160" s="13"/>
      <c r="AT2160" s="1">
        <f>IF($A2160&lt;&gt;0,1,0)</f>
        <v>0</v>
      </c>
      <c r="AU2160" s="1">
        <f>$A2160*$B2160</f>
        <v>0</v>
      </c>
      <c r="AV2160" s="1">
        <f>$A2160*$N2160</f>
        <v>0</v>
      </c>
      <c r="AW2160" s="1">
        <f>IF($Q2160=0,0,INT($A2160/$Q2160))</f>
        <v>0</v>
      </c>
      <c r="AX2160" s="1">
        <f>$A2160-$AW2160*$Q2160</f>
        <v>0</v>
      </c>
    </row>
    <row r="2161" spans="1:50" s="1" customFormat="1" ht="24.95" customHeight="1" outlineLevel="3" x14ac:dyDescent="0.2">
      <c r="A2161" s="26"/>
      <c r="B2161" s="27">
        <v>490</v>
      </c>
      <c r="C2161" s="27">
        <v>740</v>
      </c>
      <c r="D2161" s="27">
        <v>5016</v>
      </c>
      <c r="E2161" s="29" t="s">
        <v>7033</v>
      </c>
      <c r="F2161" s="29" t="s">
        <v>7034</v>
      </c>
      <c r="G2161" s="29" t="s">
        <v>163</v>
      </c>
      <c r="H2161" s="29"/>
      <c r="I2161" s="27">
        <v>2017</v>
      </c>
      <c r="J2161" s="29" t="s">
        <v>7035</v>
      </c>
      <c r="K2161" s="27">
        <v>9785961457674</v>
      </c>
      <c r="L2161" s="29" t="s">
        <v>7036</v>
      </c>
      <c r="M2161" s="27">
        <v>200</v>
      </c>
      <c r="N2161" s="30">
        <v>0.62</v>
      </c>
      <c r="O2161" s="27">
        <v>146</v>
      </c>
      <c r="P2161" s="27">
        <v>216</v>
      </c>
      <c r="Q2161" s="27">
        <v>8</v>
      </c>
      <c r="R2161" s="29" t="s">
        <v>43</v>
      </c>
      <c r="S2161" s="29"/>
      <c r="T2161" s="28">
        <v>2000</v>
      </c>
      <c r="U2161" s="29" t="s">
        <v>52</v>
      </c>
      <c r="V2161" s="29" t="s">
        <v>64</v>
      </c>
      <c r="W2161" s="27">
        <v>10</v>
      </c>
      <c r="X2161" s="37" t="str">
        <f>HYPERLINK("https://www.alpinabook.ru/catalog/book-80697","ссылка на книгу")</f>
        <v>ссылка на книгу</v>
      </c>
      <c r="Y2161" s="38" t="str">
        <f>HYPERLINK("https://api-enni.alpina.ru/FilePrivilegesApproval/2","https://api-enni.alpina.ru/FilePrivilegesApproval/2")</f>
        <v>https://api-enni.alpina.ru/FilePrivilegesApproval/2</v>
      </c>
      <c r="Z2161" s="29"/>
      <c r="AT2161" s="1">
        <f>IF($A2161&lt;&gt;0,1,0)</f>
        <v>0</v>
      </c>
      <c r="AU2161" s="1">
        <f>$A2161*$B2161</f>
        <v>0</v>
      </c>
      <c r="AV2161" s="1">
        <f>$A2161*$N2161</f>
        <v>0</v>
      </c>
      <c r="AW2161" s="1">
        <f>IF($Q2161=0,0,INT($A2161/$Q2161))</f>
        <v>0</v>
      </c>
      <c r="AX2161" s="1">
        <f>$A2161-$AW2161*$Q2161</f>
        <v>0</v>
      </c>
    </row>
    <row r="2162" spans="1:50" ht="11.1" customHeight="1" outlineLevel="2" x14ac:dyDescent="0.2">
      <c r="A2162" s="40" t="s">
        <v>7037</v>
      </c>
      <c r="B2162" s="40"/>
      <c r="C2162" s="40"/>
      <c r="D2162" s="40"/>
      <c r="E2162" s="40"/>
      <c r="F2162" s="40"/>
      <c r="G2162" s="40"/>
      <c r="H2162" s="40"/>
      <c r="I2162" s="40"/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20"/>
    </row>
    <row r="2163" spans="1:50" s="1" customFormat="1" ht="24.95" customHeight="1" outlineLevel="3" x14ac:dyDescent="0.2">
      <c r="A2163" s="11"/>
      <c r="B2163" s="12">
        <v>790</v>
      </c>
      <c r="C2163" s="12">
        <v>790</v>
      </c>
      <c r="D2163" s="12">
        <v>24653</v>
      </c>
      <c r="E2163" s="13" t="s">
        <v>7038</v>
      </c>
      <c r="F2163" s="13" t="s">
        <v>7039</v>
      </c>
      <c r="G2163" s="13" t="s">
        <v>163</v>
      </c>
      <c r="H2163" s="13"/>
      <c r="I2163" s="12">
        <v>2022</v>
      </c>
      <c r="J2163" s="13" t="s">
        <v>7040</v>
      </c>
      <c r="K2163" s="12">
        <v>9785961475616</v>
      </c>
      <c r="L2163" s="13" t="s">
        <v>7041</v>
      </c>
      <c r="M2163" s="12">
        <v>50</v>
      </c>
      <c r="N2163" s="14">
        <v>0.32</v>
      </c>
      <c r="O2163" s="12">
        <v>5</v>
      </c>
      <c r="P2163" s="12">
        <v>6</v>
      </c>
      <c r="Q2163" s="12">
        <v>45</v>
      </c>
      <c r="R2163" s="13" t="s">
        <v>7042</v>
      </c>
      <c r="S2163" s="13"/>
      <c r="T2163" s="15">
        <v>1500</v>
      </c>
      <c r="U2163" s="13" t="s">
        <v>52</v>
      </c>
      <c r="V2163" s="13" t="s">
        <v>59</v>
      </c>
      <c r="W2163" s="12">
        <v>20</v>
      </c>
      <c r="X2163" s="33" t="str">
        <f>HYPERLINK("https://www.alpinabook.ru/catalog/book-my-child","ссылка на книгу")</f>
        <v>ссылка на книгу</v>
      </c>
      <c r="Y2163" s="34" t="str">
        <f>HYPERLINK("","")</f>
        <v/>
      </c>
      <c r="Z2163" s="13"/>
      <c r="AT2163" s="1">
        <f t="shared" ref="AT2163:AT2186" si="420">IF($A2163&lt;&gt;0,1,0)</f>
        <v>0</v>
      </c>
      <c r="AU2163" s="1">
        <f t="shared" ref="AU2163:AU2186" si="421">$A2163*$B2163</f>
        <v>0</v>
      </c>
      <c r="AV2163" s="1">
        <f t="shared" ref="AV2163:AV2186" si="422">$A2163*$N2163</f>
        <v>0</v>
      </c>
      <c r="AW2163" s="1">
        <f t="shared" ref="AW2163:AW2186" si="423">IF($Q2163=0,0,INT($A2163/$Q2163))</f>
        <v>0</v>
      </c>
      <c r="AX2163" s="1">
        <f t="shared" ref="AX2163:AX2186" si="424">$A2163-$AW2163*$Q2163</f>
        <v>0</v>
      </c>
    </row>
    <row r="2164" spans="1:50" s="1" customFormat="1" ht="24.95" customHeight="1" outlineLevel="3" x14ac:dyDescent="0.2">
      <c r="A2164" s="11"/>
      <c r="B2164" s="12">
        <v>490</v>
      </c>
      <c r="C2164" s="12">
        <v>490</v>
      </c>
      <c r="D2164" s="12">
        <v>23430</v>
      </c>
      <c r="E2164" s="13" t="s">
        <v>7043</v>
      </c>
      <c r="F2164" s="13" t="s">
        <v>7044</v>
      </c>
      <c r="G2164" s="13" t="s">
        <v>163</v>
      </c>
      <c r="H2164" s="13" t="s">
        <v>40</v>
      </c>
      <c r="I2164" s="12">
        <v>2022</v>
      </c>
      <c r="J2164" s="13" t="s">
        <v>7045</v>
      </c>
      <c r="K2164" s="12">
        <v>9785961472523</v>
      </c>
      <c r="L2164" s="13" t="s">
        <v>7046</v>
      </c>
      <c r="M2164" s="12">
        <v>189</v>
      </c>
      <c r="N2164" s="14">
        <v>0.2</v>
      </c>
      <c r="O2164" s="12">
        <v>125</v>
      </c>
      <c r="P2164" s="12">
        <v>200</v>
      </c>
      <c r="Q2164" s="12">
        <v>24</v>
      </c>
      <c r="R2164" s="13" t="s">
        <v>82</v>
      </c>
      <c r="S2164" s="13"/>
      <c r="T2164" s="15">
        <v>3000</v>
      </c>
      <c r="U2164" s="13" t="s">
        <v>44</v>
      </c>
      <c r="V2164" s="13" t="s">
        <v>64</v>
      </c>
      <c r="W2164" s="12">
        <v>10</v>
      </c>
      <c r="X2164" s="33" t="str">
        <f>HYPERLINK("https://www.alpinabook.ru/catalog/book-vashi-vnuki","ссылка на книгу")</f>
        <v>ссылка на книгу</v>
      </c>
      <c r="Y2164" s="34" t="str">
        <f>HYPERLINK("https://api-enni.alpina.ru/FilePrivilegesApproval/158","https://api-enni.alpina.ru/FilePrivilegesApproval/158")</f>
        <v>https://api-enni.alpina.ru/FilePrivilegesApproval/158</v>
      </c>
      <c r="Z2164" s="13"/>
      <c r="AT2164" s="1">
        <f t="shared" si="420"/>
        <v>0</v>
      </c>
      <c r="AU2164" s="1">
        <f t="shared" si="421"/>
        <v>0</v>
      </c>
      <c r="AV2164" s="1">
        <f t="shared" si="422"/>
        <v>0</v>
      </c>
      <c r="AW2164" s="1">
        <f t="shared" si="423"/>
        <v>0</v>
      </c>
      <c r="AX2164" s="1">
        <f t="shared" si="424"/>
        <v>0</v>
      </c>
    </row>
    <row r="2165" spans="1:50" s="1" customFormat="1" ht="24.95" customHeight="1" outlineLevel="3" x14ac:dyDescent="0.2">
      <c r="A2165" s="11"/>
      <c r="B2165" s="12">
        <v>490</v>
      </c>
      <c r="C2165" s="12">
        <v>740</v>
      </c>
      <c r="D2165" s="12">
        <v>18308</v>
      </c>
      <c r="E2165" s="13" t="s">
        <v>7047</v>
      </c>
      <c r="F2165" s="13" t="s">
        <v>7048</v>
      </c>
      <c r="G2165" s="13" t="s">
        <v>163</v>
      </c>
      <c r="H2165" s="13"/>
      <c r="I2165" s="12">
        <v>2020</v>
      </c>
      <c r="J2165" s="13" t="s">
        <v>7049</v>
      </c>
      <c r="K2165" s="12">
        <v>9785961434484</v>
      </c>
      <c r="L2165" s="13" t="s">
        <v>7050</v>
      </c>
      <c r="M2165" s="12">
        <v>304</v>
      </c>
      <c r="N2165" s="14">
        <v>0.45</v>
      </c>
      <c r="O2165" s="12">
        <v>146</v>
      </c>
      <c r="P2165" s="12">
        <v>216</v>
      </c>
      <c r="Q2165" s="12">
        <v>14</v>
      </c>
      <c r="R2165" s="13" t="s">
        <v>43</v>
      </c>
      <c r="S2165" s="13"/>
      <c r="T2165" s="15">
        <v>3000</v>
      </c>
      <c r="U2165" s="13" t="s">
        <v>52</v>
      </c>
      <c r="V2165" s="13" t="s">
        <v>64</v>
      </c>
      <c r="W2165" s="12">
        <v>10</v>
      </c>
      <c r="X2165" s="33" t="str">
        <f>HYPERLINK("https://www.alpinabook.ru/catalog/book-640903","ссылка на книгу")</f>
        <v>ссылка на книгу</v>
      </c>
      <c r="Y2165" s="34" t="str">
        <f>HYPERLINK("https://api-enni.alpina.ru/FilePrivilegesApproval/66","https://api-enni.alpina.ru/FilePrivilegesApproval/66")</f>
        <v>https://api-enni.alpina.ru/FilePrivilegesApproval/66</v>
      </c>
      <c r="Z2165" s="13"/>
      <c r="AT2165" s="1">
        <f t="shared" si="420"/>
        <v>0</v>
      </c>
      <c r="AU2165" s="1">
        <f t="shared" si="421"/>
        <v>0</v>
      </c>
      <c r="AV2165" s="1">
        <f t="shared" si="422"/>
        <v>0</v>
      </c>
      <c r="AW2165" s="1">
        <f t="shared" si="423"/>
        <v>0</v>
      </c>
      <c r="AX2165" s="1">
        <f t="shared" si="424"/>
        <v>0</v>
      </c>
    </row>
    <row r="2166" spans="1:50" s="1" customFormat="1" ht="24.95" customHeight="1" outlineLevel="3" x14ac:dyDescent="0.2">
      <c r="A2166" s="11"/>
      <c r="B2166" s="12">
        <v>590</v>
      </c>
      <c r="C2166" s="12">
        <v>590</v>
      </c>
      <c r="D2166" s="12">
        <v>23954</v>
      </c>
      <c r="E2166" s="13" t="s">
        <v>7051</v>
      </c>
      <c r="F2166" s="13" t="s">
        <v>7052</v>
      </c>
      <c r="G2166" s="13" t="s">
        <v>163</v>
      </c>
      <c r="H2166" s="13"/>
      <c r="I2166" s="12">
        <v>2022</v>
      </c>
      <c r="J2166" s="13" t="s">
        <v>7053</v>
      </c>
      <c r="K2166" s="12">
        <v>9785961479102</v>
      </c>
      <c r="L2166" s="13" t="s">
        <v>7054</v>
      </c>
      <c r="M2166" s="12">
        <v>318</v>
      </c>
      <c r="N2166" s="14">
        <v>0.4</v>
      </c>
      <c r="O2166" s="12">
        <v>141</v>
      </c>
      <c r="P2166" s="12">
        <v>210</v>
      </c>
      <c r="Q2166" s="12">
        <v>14</v>
      </c>
      <c r="R2166" s="13" t="s">
        <v>43</v>
      </c>
      <c r="S2166" s="13"/>
      <c r="T2166" s="15">
        <v>3000</v>
      </c>
      <c r="U2166" s="13" t="s">
        <v>44</v>
      </c>
      <c r="V2166" s="13" t="s">
        <v>64</v>
      </c>
      <c r="W2166" s="12">
        <v>10</v>
      </c>
      <c r="X2166" s="33" t="str">
        <f>HYPERLINK("https://www.alpinabook.ru/catalog/book-ege-bez-isterik","ссылка на книгу")</f>
        <v>ссылка на книгу</v>
      </c>
      <c r="Y2166" s="34" t="str">
        <f>HYPERLINK("https://api-enni.alpina.ru/FilePrivilegesApproval/141","https://api-enni.alpina.ru/FilePrivilegesApproval/141")</f>
        <v>https://api-enni.alpina.ru/FilePrivilegesApproval/141</v>
      </c>
      <c r="Z2166" s="13"/>
      <c r="AT2166" s="1">
        <f t="shared" si="420"/>
        <v>0</v>
      </c>
      <c r="AU2166" s="1">
        <f t="shared" si="421"/>
        <v>0</v>
      </c>
      <c r="AV2166" s="1">
        <f t="shared" si="422"/>
        <v>0</v>
      </c>
      <c r="AW2166" s="1">
        <f t="shared" si="423"/>
        <v>0</v>
      </c>
      <c r="AX2166" s="1">
        <f t="shared" si="424"/>
        <v>0</v>
      </c>
    </row>
    <row r="2167" spans="1:50" s="1" customFormat="1" ht="24.95" customHeight="1" outlineLevel="3" x14ac:dyDescent="0.2">
      <c r="A2167" s="11"/>
      <c r="B2167" s="12">
        <v>490</v>
      </c>
      <c r="C2167" s="12">
        <v>740</v>
      </c>
      <c r="D2167" s="12">
        <v>27040</v>
      </c>
      <c r="E2167" s="13" t="s">
        <v>7055</v>
      </c>
      <c r="F2167" s="13" t="s">
        <v>7056</v>
      </c>
      <c r="G2167" s="13" t="s">
        <v>163</v>
      </c>
      <c r="H2167" s="13"/>
      <c r="I2167" s="12">
        <v>2023</v>
      </c>
      <c r="J2167" s="13" t="s">
        <v>7057</v>
      </c>
      <c r="K2167" s="12">
        <v>9785961483918</v>
      </c>
      <c r="L2167" s="13" t="s">
        <v>7058</v>
      </c>
      <c r="M2167" s="12">
        <v>320</v>
      </c>
      <c r="N2167" s="14">
        <v>0.4</v>
      </c>
      <c r="O2167" s="12">
        <v>130</v>
      </c>
      <c r="P2167" s="12">
        <v>206</v>
      </c>
      <c r="Q2167" s="12">
        <v>14</v>
      </c>
      <c r="R2167" s="13" t="s">
        <v>82</v>
      </c>
      <c r="S2167" s="13"/>
      <c r="T2167" s="15">
        <v>3000</v>
      </c>
      <c r="U2167" s="13" t="s">
        <v>52</v>
      </c>
      <c r="V2167" s="13" t="s">
        <v>64</v>
      </c>
      <c r="W2167" s="12">
        <v>10</v>
      </c>
      <c r="X2167" s="33" t="str">
        <f>HYPERLINK("https://www.alpinabook.ru/catalog/book-iskusstvo-ponimat-rebenka","ссылка на книгу")</f>
        <v>ссылка на книгу</v>
      </c>
      <c r="Y2167" s="34" t="str">
        <f>HYPERLINK("https://api-enni.alpina.ru/FilePrivilegesApproval/177","https://api-enni.alpina.ru/FilePrivilegesApproval/177")</f>
        <v>https://api-enni.alpina.ru/FilePrivilegesApproval/177</v>
      </c>
      <c r="Z2167" s="13"/>
      <c r="AT2167" s="1">
        <f t="shared" si="420"/>
        <v>0</v>
      </c>
      <c r="AU2167" s="1">
        <f t="shared" si="421"/>
        <v>0</v>
      </c>
      <c r="AV2167" s="1">
        <f t="shared" si="422"/>
        <v>0</v>
      </c>
      <c r="AW2167" s="1">
        <f t="shared" si="423"/>
        <v>0</v>
      </c>
      <c r="AX2167" s="1">
        <f t="shared" si="424"/>
        <v>0</v>
      </c>
    </row>
    <row r="2168" spans="1:50" s="1" customFormat="1" ht="24.95" customHeight="1" outlineLevel="3" x14ac:dyDescent="0.2">
      <c r="A2168" s="11"/>
      <c r="B2168" s="12">
        <v>490</v>
      </c>
      <c r="C2168" s="12">
        <v>490</v>
      </c>
      <c r="D2168" s="12">
        <v>8284</v>
      </c>
      <c r="E2168" s="13" t="s">
        <v>7059</v>
      </c>
      <c r="F2168" s="13" t="s">
        <v>7060</v>
      </c>
      <c r="G2168" s="13" t="s">
        <v>163</v>
      </c>
      <c r="H2168" s="13"/>
      <c r="I2168" s="12">
        <v>2019</v>
      </c>
      <c r="J2168" s="13" t="s">
        <v>7061</v>
      </c>
      <c r="K2168" s="12">
        <v>9785961470178</v>
      </c>
      <c r="L2168" s="13" t="s">
        <v>7062</v>
      </c>
      <c r="M2168" s="12">
        <v>314</v>
      </c>
      <c r="N2168" s="14">
        <v>0.32</v>
      </c>
      <c r="O2168" s="12">
        <v>145</v>
      </c>
      <c r="P2168" s="12">
        <v>216</v>
      </c>
      <c r="Q2168" s="12">
        <v>12</v>
      </c>
      <c r="R2168" s="13" t="s">
        <v>43</v>
      </c>
      <c r="S2168" s="13"/>
      <c r="T2168" s="15">
        <v>2000</v>
      </c>
      <c r="U2168" s="13" t="s">
        <v>52</v>
      </c>
      <c r="V2168" s="13" t="s">
        <v>59</v>
      </c>
      <c r="W2168" s="12">
        <v>10</v>
      </c>
      <c r="X2168" s="33" t="str">
        <f>HYPERLINK("https://www.alpinabook.ru/catalog/book-506567","ссылка на книгу")</f>
        <v>ссылка на книгу</v>
      </c>
      <c r="Y2168" s="34" t="str">
        <f>HYPERLINK("https://api-enni.alpina.ru/FilePrivilegesApproval/264","https://api-enni.alpina.ru/FilePrivilegesApproval/264")</f>
        <v>https://api-enni.alpina.ru/FilePrivilegesApproval/264</v>
      </c>
      <c r="Z2168" s="13"/>
      <c r="AT2168" s="1">
        <f t="shared" si="420"/>
        <v>0</v>
      </c>
      <c r="AU2168" s="1">
        <f t="shared" si="421"/>
        <v>0</v>
      </c>
      <c r="AV2168" s="1">
        <f t="shared" si="422"/>
        <v>0</v>
      </c>
      <c r="AW2168" s="1">
        <f t="shared" si="423"/>
        <v>0</v>
      </c>
      <c r="AX2168" s="1">
        <f t="shared" si="424"/>
        <v>0</v>
      </c>
    </row>
    <row r="2169" spans="1:50" s="1" customFormat="1" ht="24.95" customHeight="1" outlineLevel="3" x14ac:dyDescent="0.2">
      <c r="A2169" s="11"/>
      <c r="B2169" s="12">
        <v>590</v>
      </c>
      <c r="C2169" s="12">
        <v>590</v>
      </c>
      <c r="D2169" s="12">
        <v>7963</v>
      </c>
      <c r="E2169" s="13" t="s">
        <v>7063</v>
      </c>
      <c r="F2169" s="13" t="s">
        <v>7064</v>
      </c>
      <c r="G2169" s="13" t="s">
        <v>163</v>
      </c>
      <c r="H2169" s="13" t="s">
        <v>40</v>
      </c>
      <c r="I2169" s="12">
        <v>2024</v>
      </c>
      <c r="J2169" s="13" t="s">
        <v>7065</v>
      </c>
      <c r="K2169" s="12">
        <v>9785961465174</v>
      </c>
      <c r="L2169" s="13" t="s">
        <v>7066</v>
      </c>
      <c r="M2169" s="12">
        <v>332</v>
      </c>
      <c r="N2169" s="14">
        <v>0.42</v>
      </c>
      <c r="O2169" s="12">
        <v>148</v>
      </c>
      <c r="P2169" s="12">
        <v>210</v>
      </c>
      <c r="Q2169" s="12">
        <v>14</v>
      </c>
      <c r="R2169" s="13" t="s">
        <v>43</v>
      </c>
      <c r="S2169" s="13"/>
      <c r="T2169" s="15">
        <v>3000</v>
      </c>
      <c r="U2169" s="13" t="s">
        <v>44</v>
      </c>
      <c r="V2169" s="13" t="s">
        <v>64</v>
      </c>
      <c r="W2169" s="12">
        <v>10</v>
      </c>
      <c r="X2169" s="33" t="str">
        <f>HYPERLINK("https://www.alpinabook.ru/catalog/book-klassnyy-uchitel","ссылка на книгу")</f>
        <v>ссылка на книгу</v>
      </c>
      <c r="Y2169" s="34" t="str">
        <f>HYPERLINK("https://api-enni.alpina.ru/FilePrivilegesApproval/2","https://api-enni.alpina.ru/FilePrivilegesApproval/2")</f>
        <v>https://api-enni.alpina.ru/FilePrivilegesApproval/2</v>
      </c>
      <c r="Z2169" s="13"/>
      <c r="AT2169" s="1">
        <f t="shared" si="420"/>
        <v>0</v>
      </c>
      <c r="AU2169" s="1">
        <f t="shared" si="421"/>
        <v>0</v>
      </c>
      <c r="AV2169" s="1">
        <f t="shared" si="422"/>
        <v>0</v>
      </c>
      <c r="AW2169" s="1">
        <f t="shared" si="423"/>
        <v>0</v>
      </c>
      <c r="AX2169" s="1">
        <f t="shared" si="424"/>
        <v>0</v>
      </c>
    </row>
    <row r="2170" spans="1:50" s="1" customFormat="1" ht="24.95" customHeight="1" outlineLevel="3" x14ac:dyDescent="0.2">
      <c r="A2170" s="26"/>
      <c r="B2170" s="27">
        <v>650</v>
      </c>
      <c r="C2170" s="27">
        <v>650</v>
      </c>
      <c r="D2170" s="27">
        <v>24792</v>
      </c>
      <c r="E2170" s="29" t="s">
        <v>7067</v>
      </c>
      <c r="F2170" s="29" t="s">
        <v>7068</v>
      </c>
      <c r="G2170" s="29" t="s">
        <v>163</v>
      </c>
      <c r="H2170" s="29" t="s">
        <v>40</v>
      </c>
      <c r="I2170" s="27">
        <v>2022</v>
      </c>
      <c r="J2170" s="29" t="s">
        <v>7069</v>
      </c>
      <c r="K2170" s="27">
        <v>9785961476118</v>
      </c>
      <c r="L2170" s="29" t="s">
        <v>7070</v>
      </c>
      <c r="M2170" s="27">
        <v>234</v>
      </c>
      <c r="N2170" s="30">
        <v>0.39</v>
      </c>
      <c r="O2170" s="27">
        <v>153</v>
      </c>
      <c r="P2170" s="27">
        <v>216</v>
      </c>
      <c r="Q2170" s="27">
        <v>14</v>
      </c>
      <c r="R2170" s="29" t="s">
        <v>43</v>
      </c>
      <c r="S2170" s="29"/>
      <c r="T2170" s="28">
        <v>1000</v>
      </c>
      <c r="U2170" s="29" t="s">
        <v>52</v>
      </c>
      <c r="V2170" s="29" t="s">
        <v>64</v>
      </c>
      <c r="W2170" s="27">
        <v>10</v>
      </c>
      <c r="X2170" s="37" t="str">
        <f>HYPERLINK("https://www.alpinabook.ru/catalog/book-moy-rebenok-tiran","ссылка на книгу")</f>
        <v>ссылка на книгу</v>
      </c>
      <c r="Y2170" s="38" t="str">
        <f>HYPERLINK("https://api-enni.alpina.ru/FilePrivilegesApproval/125","https://api-enni.alpina.ru/FilePrivilegesApproval/125")</f>
        <v>https://api-enni.alpina.ru/FilePrivilegesApproval/125</v>
      </c>
      <c r="Z2170" s="29"/>
      <c r="AT2170" s="1">
        <f t="shared" si="420"/>
        <v>0</v>
      </c>
      <c r="AU2170" s="1">
        <f t="shared" si="421"/>
        <v>0</v>
      </c>
      <c r="AV2170" s="1">
        <f t="shared" si="422"/>
        <v>0</v>
      </c>
      <c r="AW2170" s="1">
        <f t="shared" si="423"/>
        <v>0</v>
      </c>
      <c r="AX2170" s="1">
        <f t="shared" si="424"/>
        <v>0</v>
      </c>
    </row>
    <row r="2171" spans="1:50" s="1" customFormat="1" ht="24.95" customHeight="1" outlineLevel="3" x14ac:dyDescent="0.2">
      <c r="A2171" s="11"/>
      <c r="B2171" s="12">
        <v>540</v>
      </c>
      <c r="C2171" s="12">
        <v>790</v>
      </c>
      <c r="D2171" s="12">
        <v>28611</v>
      </c>
      <c r="E2171" s="13" t="s">
        <v>7071</v>
      </c>
      <c r="F2171" s="13" t="s">
        <v>7072</v>
      </c>
      <c r="G2171" s="13" t="s">
        <v>97</v>
      </c>
      <c r="H2171" s="13"/>
      <c r="I2171" s="12">
        <v>2023</v>
      </c>
      <c r="J2171" s="13" t="s">
        <v>7073</v>
      </c>
      <c r="K2171" s="12">
        <v>9785206002195</v>
      </c>
      <c r="L2171" s="13" t="s">
        <v>7074</v>
      </c>
      <c r="M2171" s="12">
        <v>96</v>
      </c>
      <c r="N2171" s="14">
        <v>0.39</v>
      </c>
      <c r="O2171" s="12">
        <v>200</v>
      </c>
      <c r="P2171" s="12">
        <v>240</v>
      </c>
      <c r="Q2171" s="12">
        <v>12</v>
      </c>
      <c r="R2171" s="13" t="s">
        <v>300</v>
      </c>
      <c r="S2171" s="13"/>
      <c r="T2171" s="15">
        <v>1505</v>
      </c>
      <c r="U2171" s="13" t="s">
        <v>52</v>
      </c>
      <c r="V2171" s="13" t="s">
        <v>59</v>
      </c>
      <c r="W2171" s="12">
        <v>10</v>
      </c>
      <c r="X2171" s="33" t="str">
        <f>HYPERLINK("https://www.alpinabook.ru/catalog/book-nepridumannye-istorii-o-detstve","ссылка на книгу")</f>
        <v>ссылка на книгу</v>
      </c>
      <c r="Y2171" s="34" t="str">
        <f>HYPERLINK("https://api-enni.alpina.ru/FilePrivilegesApproval/286","https://api-enni.alpina.ru/FilePrivilegesApproval/286")</f>
        <v>https://api-enni.alpina.ru/FilePrivilegesApproval/286</v>
      </c>
      <c r="Z2171" s="13"/>
      <c r="AT2171" s="1">
        <f t="shared" si="420"/>
        <v>0</v>
      </c>
      <c r="AU2171" s="1">
        <f t="shared" si="421"/>
        <v>0</v>
      </c>
      <c r="AV2171" s="1">
        <f t="shared" si="422"/>
        <v>0</v>
      </c>
      <c r="AW2171" s="1">
        <f t="shared" si="423"/>
        <v>0</v>
      </c>
      <c r="AX2171" s="1">
        <f t="shared" si="424"/>
        <v>0</v>
      </c>
    </row>
    <row r="2172" spans="1:50" s="1" customFormat="1" ht="24.95" customHeight="1" outlineLevel="3" x14ac:dyDescent="0.2">
      <c r="A2172" s="26"/>
      <c r="B2172" s="27">
        <v>440</v>
      </c>
      <c r="C2172" s="27">
        <v>440</v>
      </c>
      <c r="D2172" s="27">
        <v>6387</v>
      </c>
      <c r="E2172" s="29" t="s">
        <v>7075</v>
      </c>
      <c r="F2172" s="29" t="s">
        <v>7076</v>
      </c>
      <c r="G2172" s="29" t="s">
        <v>163</v>
      </c>
      <c r="H2172" s="29" t="s">
        <v>3763</v>
      </c>
      <c r="I2172" s="27">
        <v>2017</v>
      </c>
      <c r="J2172" s="29" t="s">
        <v>7077</v>
      </c>
      <c r="K2172" s="27">
        <v>9785961458664</v>
      </c>
      <c r="L2172" s="29" t="s">
        <v>7078</v>
      </c>
      <c r="M2172" s="27">
        <v>232</v>
      </c>
      <c r="N2172" s="30">
        <v>0.38</v>
      </c>
      <c r="O2172" s="27">
        <v>146</v>
      </c>
      <c r="P2172" s="27">
        <v>216</v>
      </c>
      <c r="Q2172" s="27">
        <v>16</v>
      </c>
      <c r="R2172" s="29" t="s">
        <v>43</v>
      </c>
      <c r="S2172" s="29"/>
      <c r="T2172" s="28">
        <v>2000</v>
      </c>
      <c r="U2172" s="29" t="s">
        <v>52</v>
      </c>
      <c r="V2172" s="29" t="s">
        <v>64</v>
      </c>
      <c r="W2172" s="27">
        <v>10</v>
      </c>
      <c r="X2172" s="37" t="str">
        <f>HYPERLINK("https://www.alpinabook.ru/catalog/book-341845","ссылка на книгу")</f>
        <v>ссылка на книгу</v>
      </c>
      <c r="Y2172" s="38" t="str">
        <f>HYPERLINK("https://api-enni.alpina.ru/FilePrivilegesApproval/2","https://api-enni.alpina.ru/FilePrivilegesApproval/2")</f>
        <v>https://api-enni.alpina.ru/FilePrivilegesApproval/2</v>
      </c>
      <c r="Z2172" s="29"/>
      <c r="AT2172" s="1">
        <f t="shared" si="420"/>
        <v>0</v>
      </c>
      <c r="AU2172" s="1">
        <f t="shared" si="421"/>
        <v>0</v>
      </c>
      <c r="AV2172" s="1">
        <f t="shared" si="422"/>
        <v>0</v>
      </c>
      <c r="AW2172" s="1">
        <f t="shared" si="423"/>
        <v>0</v>
      </c>
      <c r="AX2172" s="1">
        <f t="shared" si="424"/>
        <v>0</v>
      </c>
    </row>
    <row r="2173" spans="1:50" s="1" customFormat="1" ht="24.95" customHeight="1" outlineLevel="3" x14ac:dyDescent="0.2">
      <c r="A2173" s="11"/>
      <c r="B2173" s="12">
        <v>290</v>
      </c>
      <c r="C2173" s="12">
        <v>440</v>
      </c>
      <c r="D2173" s="12">
        <v>27457</v>
      </c>
      <c r="E2173" s="13" t="s">
        <v>7079</v>
      </c>
      <c r="F2173" s="13" t="s">
        <v>7080</v>
      </c>
      <c r="G2173" s="13" t="s">
        <v>163</v>
      </c>
      <c r="H2173" s="13"/>
      <c r="I2173" s="12">
        <v>2025</v>
      </c>
      <c r="J2173" s="13" t="s">
        <v>7081</v>
      </c>
      <c r="K2173" s="12">
        <v>9785961485226</v>
      </c>
      <c r="L2173" s="13" t="s">
        <v>7082</v>
      </c>
      <c r="M2173" s="12">
        <v>237</v>
      </c>
      <c r="N2173" s="14">
        <v>0.15</v>
      </c>
      <c r="O2173" s="12">
        <v>120</v>
      </c>
      <c r="P2173" s="12">
        <v>170</v>
      </c>
      <c r="Q2173" s="12">
        <v>8</v>
      </c>
      <c r="R2173" s="13" t="s">
        <v>75</v>
      </c>
      <c r="S2173" s="13" t="s">
        <v>6937</v>
      </c>
      <c r="T2173" s="15">
        <v>6000</v>
      </c>
      <c r="U2173" s="13" t="s">
        <v>44</v>
      </c>
      <c r="V2173" s="13" t="s">
        <v>64</v>
      </c>
      <c r="W2173" s="12">
        <v>10</v>
      </c>
      <c r="X2173" s="33" t="str">
        <f>HYPERLINK("https://www.alpinabook.ru/catalog/book-obuchenie-kak-priklyuchenie","ссылка на книгу")</f>
        <v>ссылка на книгу</v>
      </c>
      <c r="Y2173" s="34" t="str">
        <f>HYPERLINK("https://api-enni.alpina.ru/FilePrivilegesApproval/200","https://api-enni.alpina.ru/FilePrivilegesApproval/200")</f>
        <v>https://api-enni.alpina.ru/FilePrivilegesApproval/200</v>
      </c>
      <c r="Z2173" s="13"/>
      <c r="AT2173" s="1">
        <f t="shared" si="420"/>
        <v>0</v>
      </c>
      <c r="AU2173" s="1">
        <f t="shared" si="421"/>
        <v>0</v>
      </c>
      <c r="AV2173" s="1">
        <f t="shared" si="422"/>
        <v>0</v>
      </c>
      <c r="AW2173" s="1">
        <f t="shared" si="423"/>
        <v>0</v>
      </c>
      <c r="AX2173" s="1">
        <f t="shared" si="424"/>
        <v>0</v>
      </c>
    </row>
    <row r="2174" spans="1:50" s="1" customFormat="1" ht="24.95" customHeight="1" outlineLevel="3" x14ac:dyDescent="0.2">
      <c r="A2174" s="11"/>
      <c r="B2174" s="12">
        <v>950</v>
      </c>
      <c r="C2174" s="12">
        <v>950</v>
      </c>
      <c r="D2174" s="12">
        <v>20648</v>
      </c>
      <c r="E2174" s="13" t="s">
        <v>2899</v>
      </c>
      <c r="F2174" s="13" t="s">
        <v>7083</v>
      </c>
      <c r="G2174" s="13" t="s">
        <v>163</v>
      </c>
      <c r="H2174" s="13"/>
      <c r="I2174" s="12">
        <v>2021</v>
      </c>
      <c r="J2174" s="13" t="s">
        <v>7084</v>
      </c>
      <c r="K2174" s="12">
        <v>9785961440744</v>
      </c>
      <c r="L2174" s="13" t="s">
        <v>7085</v>
      </c>
      <c r="M2174" s="12">
        <v>351</v>
      </c>
      <c r="N2174" s="14">
        <v>0.64</v>
      </c>
      <c r="O2174" s="12">
        <v>160</v>
      </c>
      <c r="P2174" s="12">
        <v>220</v>
      </c>
      <c r="Q2174" s="12">
        <v>6</v>
      </c>
      <c r="R2174" s="13" t="s">
        <v>100</v>
      </c>
      <c r="S2174" s="13"/>
      <c r="T2174" s="15">
        <v>3000</v>
      </c>
      <c r="U2174" s="13" t="s">
        <v>44</v>
      </c>
      <c r="V2174" s="13" t="s">
        <v>64</v>
      </c>
      <c r="W2174" s="12">
        <v>10</v>
      </c>
      <c r="X2174" s="33" t="str">
        <f>HYPERLINK("https://www.alpinabook.ru/catalog/book-703919","ссылка на книгу")</f>
        <v>ссылка на книгу</v>
      </c>
      <c r="Y2174" s="34" t="str">
        <f>HYPERLINK("https://api-enni.alpina.ru/FilePrivilegesApproval/108","https://api-enni.alpina.ru/FilePrivilegesApproval/108")</f>
        <v>https://api-enni.alpina.ru/FilePrivilegesApproval/108</v>
      </c>
      <c r="Z2174" s="13"/>
      <c r="AT2174" s="1">
        <f t="shared" si="420"/>
        <v>0</v>
      </c>
      <c r="AU2174" s="1">
        <f t="shared" si="421"/>
        <v>0</v>
      </c>
      <c r="AV2174" s="1">
        <f t="shared" si="422"/>
        <v>0</v>
      </c>
      <c r="AW2174" s="1">
        <f t="shared" si="423"/>
        <v>0</v>
      </c>
      <c r="AX2174" s="1">
        <f t="shared" si="424"/>
        <v>0</v>
      </c>
    </row>
    <row r="2175" spans="1:50" s="1" customFormat="1" ht="24.95" customHeight="1" outlineLevel="3" x14ac:dyDescent="0.2">
      <c r="A2175" s="11"/>
      <c r="B2175" s="12">
        <v>990</v>
      </c>
      <c r="C2175" s="15">
        <v>1290</v>
      </c>
      <c r="D2175" s="12">
        <v>2885</v>
      </c>
      <c r="E2175" s="13" t="s">
        <v>6941</v>
      </c>
      <c r="F2175" s="13" t="s">
        <v>7086</v>
      </c>
      <c r="G2175" s="13" t="s">
        <v>86</v>
      </c>
      <c r="H2175" s="13" t="s">
        <v>40</v>
      </c>
      <c r="I2175" s="12">
        <v>2024</v>
      </c>
      <c r="J2175" s="13" t="s">
        <v>7087</v>
      </c>
      <c r="K2175" s="12">
        <v>9785916717891</v>
      </c>
      <c r="L2175" s="13" t="s">
        <v>7088</v>
      </c>
      <c r="M2175" s="12">
        <v>224</v>
      </c>
      <c r="N2175" s="14">
        <v>0.34</v>
      </c>
      <c r="O2175" s="12">
        <v>130</v>
      </c>
      <c r="P2175" s="12">
        <v>190</v>
      </c>
      <c r="Q2175" s="12">
        <v>14</v>
      </c>
      <c r="R2175" s="13" t="s">
        <v>75</v>
      </c>
      <c r="S2175" s="13" t="s">
        <v>6948</v>
      </c>
      <c r="T2175" s="15">
        <v>3000</v>
      </c>
      <c r="U2175" s="13" t="s">
        <v>268</v>
      </c>
      <c r="V2175" s="13" t="s">
        <v>64</v>
      </c>
      <c r="W2175" s="12">
        <v>10</v>
      </c>
      <c r="X2175" s="33" t="str">
        <f>HYPERLINK("https://www.alpinabook.ru/catalog/book-posle-trekh-uzhe-pozdno","ссылка на книгу")</f>
        <v>ссылка на книгу</v>
      </c>
      <c r="Y2175" s="34" t="str">
        <f>HYPERLINK("https://api-enni.alpina.ru/FilePrivilegesApproval/131","https://api-enni.alpina.ru/FilePrivilegesApproval/131")</f>
        <v>https://api-enni.alpina.ru/FilePrivilegesApproval/131</v>
      </c>
      <c r="Z2175" s="13"/>
      <c r="AT2175" s="1">
        <f t="shared" si="420"/>
        <v>0</v>
      </c>
      <c r="AU2175" s="1">
        <f t="shared" si="421"/>
        <v>0</v>
      </c>
      <c r="AV2175" s="1">
        <f t="shared" si="422"/>
        <v>0</v>
      </c>
      <c r="AW2175" s="1">
        <f t="shared" si="423"/>
        <v>0</v>
      </c>
      <c r="AX2175" s="1">
        <f t="shared" si="424"/>
        <v>0</v>
      </c>
    </row>
    <row r="2176" spans="1:50" s="1" customFormat="1" ht="24.95" customHeight="1" outlineLevel="3" x14ac:dyDescent="0.2">
      <c r="A2176" s="11"/>
      <c r="B2176" s="12">
        <v>540</v>
      </c>
      <c r="C2176" s="12">
        <v>690</v>
      </c>
      <c r="D2176" s="12">
        <v>20854</v>
      </c>
      <c r="E2176" s="13" t="s">
        <v>7089</v>
      </c>
      <c r="F2176" s="13" t="s">
        <v>7090</v>
      </c>
      <c r="G2176" s="13" t="s">
        <v>86</v>
      </c>
      <c r="H2176" s="13"/>
      <c r="I2176" s="12">
        <v>2021</v>
      </c>
      <c r="J2176" s="13" t="s">
        <v>7091</v>
      </c>
      <c r="K2176" s="12">
        <v>9785916719567</v>
      </c>
      <c r="L2176" s="13" t="s">
        <v>7092</v>
      </c>
      <c r="M2176" s="12">
        <v>350</v>
      </c>
      <c r="N2176" s="14">
        <v>0.55000000000000004</v>
      </c>
      <c r="O2176" s="12">
        <v>146</v>
      </c>
      <c r="P2176" s="12">
        <v>216</v>
      </c>
      <c r="Q2176" s="12">
        <v>12</v>
      </c>
      <c r="R2176" s="13" t="s">
        <v>43</v>
      </c>
      <c r="S2176" s="13"/>
      <c r="T2176" s="15">
        <v>3000</v>
      </c>
      <c r="U2176" s="13" t="s">
        <v>52</v>
      </c>
      <c r="V2176" s="13" t="s">
        <v>45</v>
      </c>
      <c r="W2176" s="12">
        <v>10</v>
      </c>
      <c r="X2176" s="33" t="str">
        <f>HYPERLINK("https://www.alpinabook.ru/catalog/book-704019","ссылка на книгу")</f>
        <v>ссылка на книгу</v>
      </c>
      <c r="Y2176" s="34" t="str">
        <f>HYPERLINK("https://api-enni.alpina.ru/FilePrivilegesApproval/208","https://api-enni.alpina.ru/FilePrivilegesApproval/208")</f>
        <v>https://api-enni.alpina.ru/FilePrivilegesApproval/208</v>
      </c>
      <c r="Z2176" s="13"/>
      <c r="AT2176" s="1">
        <f t="shared" si="420"/>
        <v>0</v>
      </c>
      <c r="AU2176" s="1">
        <f t="shared" si="421"/>
        <v>0</v>
      </c>
      <c r="AV2176" s="1">
        <f t="shared" si="422"/>
        <v>0</v>
      </c>
      <c r="AW2176" s="1">
        <f t="shared" si="423"/>
        <v>0</v>
      </c>
      <c r="AX2176" s="1">
        <f t="shared" si="424"/>
        <v>0</v>
      </c>
    </row>
    <row r="2177" spans="1:50" s="1" customFormat="1" ht="24.95" customHeight="1" outlineLevel="3" x14ac:dyDescent="0.2">
      <c r="A2177" s="11"/>
      <c r="B2177" s="12">
        <v>490</v>
      </c>
      <c r="C2177" s="12">
        <v>490</v>
      </c>
      <c r="D2177" s="12">
        <v>4569</v>
      </c>
      <c r="E2177" s="13" t="s">
        <v>7093</v>
      </c>
      <c r="F2177" s="13" t="s">
        <v>7094</v>
      </c>
      <c r="G2177" s="13" t="s">
        <v>86</v>
      </c>
      <c r="H2177" s="13" t="s">
        <v>40</v>
      </c>
      <c r="I2177" s="12">
        <v>2020</v>
      </c>
      <c r="J2177" s="13" t="s">
        <v>7095</v>
      </c>
      <c r="K2177" s="12">
        <v>9785916715583</v>
      </c>
      <c r="L2177" s="13" t="s">
        <v>7096</v>
      </c>
      <c r="M2177" s="12">
        <v>316</v>
      </c>
      <c r="N2177" s="14">
        <v>0.4</v>
      </c>
      <c r="O2177" s="12">
        <v>130</v>
      </c>
      <c r="P2177" s="12">
        <v>206</v>
      </c>
      <c r="Q2177" s="12">
        <v>12</v>
      </c>
      <c r="R2177" s="13" t="s">
        <v>82</v>
      </c>
      <c r="S2177" s="13"/>
      <c r="T2177" s="15">
        <v>1500</v>
      </c>
      <c r="U2177" s="13" t="s">
        <v>52</v>
      </c>
      <c r="V2177" s="13" t="s">
        <v>64</v>
      </c>
      <c r="W2177" s="12">
        <v>10</v>
      </c>
      <c r="X2177" s="33" t="str">
        <f>HYPERLINK("https://www.alpinabook.ru/catalog/book-598431","ссылка на книгу")</f>
        <v>ссылка на книгу</v>
      </c>
      <c r="Y2177" s="34" t="str">
        <f>HYPERLINK("https://api-enni.alpina.ru/FilePrivilegesApproval/262","https://api-enni.alpina.ru/FilePrivilegesApproval/262")</f>
        <v>https://api-enni.alpina.ru/FilePrivilegesApproval/262</v>
      </c>
      <c r="Z2177" s="13"/>
      <c r="AT2177" s="1">
        <f t="shared" si="420"/>
        <v>0</v>
      </c>
      <c r="AU2177" s="1">
        <f t="shared" si="421"/>
        <v>0</v>
      </c>
      <c r="AV2177" s="1">
        <f t="shared" si="422"/>
        <v>0</v>
      </c>
      <c r="AW2177" s="1">
        <f t="shared" si="423"/>
        <v>0</v>
      </c>
      <c r="AX2177" s="1">
        <f t="shared" si="424"/>
        <v>0</v>
      </c>
    </row>
    <row r="2178" spans="1:50" s="1" customFormat="1" ht="24.95" customHeight="1" outlineLevel="3" x14ac:dyDescent="0.2">
      <c r="A2178" s="11"/>
      <c r="B2178" s="12">
        <v>490</v>
      </c>
      <c r="C2178" s="12">
        <v>740</v>
      </c>
      <c r="D2178" s="12">
        <v>18170</v>
      </c>
      <c r="E2178" s="13" t="s">
        <v>7097</v>
      </c>
      <c r="F2178" s="13" t="s">
        <v>7098</v>
      </c>
      <c r="G2178" s="13" t="s">
        <v>163</v>
      </c>
      <c r="H2178" s="13"/>
      <c r="I2178" s="12">
        <v>2021</v>
      </c>
      <c r="J2178" s="13" t="s">
        <v>7099</v>
      </c>
      <c r="K2178" s="12">
        <v>9785961436983</v>
      </c>
      <c r="L2178" s="13" t="s">
        <v>7100</v>
      </c>
      <c r="M2178" s="12">
        <v>164</v>
      </c>
      <c r="N2178" s="14">
        <v>0.3</v>
      </c>
      <c r="O2178" s="12">
        <v>153</v>
      </c>
      <c r="P2178" s="12">
        <v>216</v>
      </c>
      <c r="Q2178" s="12">
        <v>20</v>
      </c>
      <c r="R2178" s="13" t="s">
        <v>43</v>
      </c>
      <c r="S2178" s="13"/>
      <c r="T2178" s="15">
        <v>1000</v>
      </c>
      <c r="U2178" s="13" t="s">
        <v>52</v>
      </c>
      <c r="V2178" s="13" t="s">
        <v>59</v>
      </c>
      <c r="W2178" s="12">
        <v>10</v>
      </c>
      <c r="X2178" s="33" t="str">
        <f>HYPERLINK("https://www.alpinabook.ru/catalog/book-695313","ссылка на книгу")</f>
        <v>ссылка на книгу</v>
      </c>
      <c r="Y2178" s="34" t="str">
        <f>HYPERLINK("https://api-enni.alpina.ru/FilePrivilegesApproval/98","https://api-enni.alpina.ru/FilePrivilegesApproval/98")</f>
        <v>https://api-enni.alpina.ru/FilePrivilegesApproval/98</v>
      </c>
      <c r="Z2178" s="13"/>
      <c r="AT2178" s="1">
        <f t="shared" si="420"/>
        <v>0</v>
      </c>
      <c r="AU2178" s="1">
        <f t="shared" si="421"/>
        <v>0</v>
      </c>
      <c r="AV2178" s="1">
        <f t="shared" si="422"/>
        <v>0</v>
      </c>
      <c r="AW2178" s="1">
        <f t="shared" si="423"/>
        <v>0</v>
      </c>
      <c r="AX2178" s="1">
        <f t="shared" si="424"/>
        <v>0</v>
      </c>
    </row>
    <row r="2179" spans="1:50" s="1" customFormat="1" ht="24.95" customHeight="1" outlineLevel="3" x14ac:dyDescent="0.2">
      <c r="A2179" s="26"/>
      <c r="B2179" s="27">
        <v>790</v>
      </c>
      <c r="C2179" s="27">
        <v>790</v>
      </c>
      <c r="D2179" s="27">
        <v>12094</v>
      </c>
      <c r="E2179" s="29" t="s">
        <v>7101</v>
      </c>
      <c r="F2179" s="29" t="s">
        <v>7102</v>
      </c>
      <c r="G2179" s="29" t="s">
        <v>163</v>
      </c>
      <c r="H2179" s="29" t="s">
        <v>40</v>
      </c>
      <c r="I2179" s="27">
        <v>2022</v>
      </c>
      <c r="J2179" s="29" t="s">
        <v>7103</v>
      </c>
      <c r="K2179" s="27">
        <v>9785961423846</v>
      </c>
      <c r="L2179" s="29" t="s">
        <v>7104</v>
      </c>
      <c r="M2179" s="27">
        <v>304</v>
      </c>
      <c r="N2179" s="30">
        <v>0.41</v>
      </c>
      <c r="O2179" s="27">
        <v>153</v>
      </c>
      <c r="P2179" s="27">
        <v>216</v>
      </c>
      <c r="Q2179" s="27">
        <v>12</v>
      </c>
      <c r="R2179" s="29" t="s">
        <v>43</v>
      </c>
      <c r="S2179" s="29"/>
      <c r="T2179" s="28">
        <v>1000</v>
      </c>
      <c r="U2179" s="29" t="s">
        <v>52</v>
      </c>
      <c r="V2179" s="29" t="s">
        <v>64</v>
      </c>
      <c r="W2179" s="27">
        <v>10</v>
      </c>
      <c r="X2179" s="37" t="str">
        <f>HYPERLINK("https://www.alpinabook.ru/catalog/book-rozhdennyy-chitat","ссылка на книгу")</f>
        <v>ссылка на книгу</v>
      </c>
      <c r="Y2179" s="38" t="str">
        <f>HYPERLINK("https://api-enni.alpina.ru/FilePrivilegesApproval/141","https://api-enni.alpina.ru/FilePrivilegesApproval/141")</f>
        <v>https://api-enni.alpina.ru/FilePrivilegesApproval/141</v>
      </c>
      <c r="Z2179" s="29"/>
      <c r="AT2179" s="1">
        <f t="shared" si="420"/>
        <v>0</v>
      </c>
      <c r="AU2179" s="1">
        <f t="shared" si="421"/>
        <v>0</v>
      </c>
      <c r="AV2179" s="1">
        <f t="shared" si="422"/>
        <v>0</v>
      </c>
      <c r="AW2179" s="1">
        <f t="shared" si="423"/>
        <v>0</v>
      </c>
      <c r="AX2179" s="1">
        <f t="shared" si="424"/>
        <v>0</v>
      </c>
    </row>
    <row r="2180" spans="1:50" s="1" customFormat="1" ht="24.95" customHeight="1" outlineLevel="3" x14ac:dyDescent="0.2">
      <c r="A2180" s="11"/>
      <c r="B2180" s="12">
        <v>490</v>
      </c>
      <c r="C2180" s="12">
        <v>490</v>
      </c>
      <c r="D2180" s="12">
        <v>24364</v>
      </c>
      <c r="E2180" s="13" t="s">
        <v>7105</v>
      </c>
      <c r="F2180" s="13" t="s">
        <v>7106</v>
      </c>
      <c r="G2180" s="13" t="s">
        <v>86</v>
      </c>
      <c r="H2180" s="13"/>
      <c r="I2180" s="12">
        <v>2022</v>
      </c>
      <c r="J2180" s="13" t="s">
        <v>7107</v>
      </c>
      <c r="K2180" s="12">
        <v>9785001397458</v>
      </c>
      <c r="L2180" s="13" t="s">
        <v>7108</v>
      </c>
      <c r="M2180" s="12">
        <v>208</v>
      </c>
      <c r="N2180" s="14">
        <v>0.3</v>
      </c>
      <c r="O2180" s="12">
        <v>130</v>
      </c>
      <c r="P2180" s="12">
        <v>206</v>
      </c>
      <c r="Q2180" s="12">
        <v>20</v>
      </c>
      <c r="R2180" s="13" t="s">
        <v>82</v>
      </c>
      <c r="S2180" s="13"/>
      <c r="T2180" s="15">
        <v>1500</v>
      </c>
      <c r="U2180" s="13" t="s">
        <v>52</v>
      </c>
      <c r="V2180" s="13" t="s">
        <v>45</v>
      </c>
      <c r="W2180" s="12">
        <v>10</v>
      </c>
      <c r="X2180" s="33" t="str">
        <f>HYPERLINK("https://www.alpinabook.ru/catalog/book-ruchka","ссылка на книгу")</f>
        <v>ссылка на книгу</v>
      </c>
      <c r="Y2180" s="34" t="str">
        <f>HYPERLINK("https://api-enni.alpina.ru/FilePrivilegesApproval/190","https://api-enni.alpina.ru/FilePrivilegesApproval/190")</f>
        <v>https://api-enni.alpina.ru/FilePrivilegesApproval/190</v>
      </c>
      <c r="Z2180" s="13"/>
      <c r="AT2180" s="1">
        <f t="shared" si="420"/>
        <v>0</v>
      </c>
      <c r="AU2180" s="1">
        <f t="shared" si="421"/>
        <v>0</v>
      </c>
      <c r="AV2180" s="1">
        <f t="shared" si="422"/>
        <v>0</v>
      </c>
      <c r="AW2180" s="1">
        <f t="shared" si="423"/>
        <v>0</v>
      </c>
      <c r="AX2180" s="1">
        <f t="shared" si="424"/>
        <v>0</v>
      </c>
    </row>
    <row r="2181" spans="1:50" s="1" customFormat="1" ht="24.95" customHeight="1" outlineLevel="3" x14ac:dyDescent="0.2">
      <c r="A2181" s="26"/>
      <c r="B2181" s="27">
        <v>490</v>
      </c>
      <c r="C2181" s="27">
        <v>490</v>
      </c>
      <c r="D2181" s="27">
        <v>4885</v>
      </c>
      <c r="E2181" s="29" t="s">
        <v>7109</v>
      </c>
      <c r="F2181" s="29" t="s">
        <v>7110</v>
      </c>
      <c r="G2181" s="29" t="s">
        <v>163</v>
      </c>
      <c r="H2181" s="29" t="s">
        <v>434</v>
      </c>
      <c r="I2181" s="27">
        <v>2018</v>
      </c>
      <c r="J2181" s="29" t="s">
        <v>7111</v>
      </c>
      <c r="K2181" s="27">
        <v>9785961466362</v>
      </c>
      <c r="L2181" s="29" t="s">
        <v>7112</v>
      </c>
      <c r="M2181" s="27">
        <v>312</v>
      </c>
      <c r="N2181" s="30">
        <v>0.38</v>
      </c>
      <c r="O2181" s="27">
        <v>141</v>
      </c>
      <c r="P2181" s="27">
        <v>210</v>
      </c>
      <c r="Q2181" s="27">
        <v>14</v>
      </c>
      <c r="R2181" s="29" t="s">
        <v>43</v>
      </c>
      <c r="S2181" s="29"/>
      <c r="T2181" s="28">
        <v>2000</v>
      </c>
      <c r="U2181" s="29" t="s">
        <v>44</v>
      </c>
      <c r="V2181" s="29" t="s">
        <v>64</v>
      </c>
      <c r="W2181" s="27">
        <v>10</v>
      </c>
      <c r="X2181" s="37" t="str">
        <f>HYPERLINK("https://www.alpinabook.ru/catalog/book-378951","ссылка на книгу")</f>
        <v>ссылка на книгу</v>
      </c>
      <c r="Y2181" s="38" t="str">
        <f>HYPERLINK("https://api-enni.alpina.ru/FilePrivilegesApproval/2","https://api-enni.alpina.ru/FilePrivilegesApproval/2")</f>
        <v>https://api-enni.alpina.ru/FilePrivilegesApproval/2</v>
      </c>
      <c r="Z2181" s="29"/>
      <c r="AT2181" s="1">
        <f t="shared" si="420"/>
        <v>0</v>
      </c>
      <c r="AU2181" s="1">
        <f t="shared" si="421"/>
        <v>0</v>
      </c>
      <c r="AV2181" s="1">
        <f t="shared" si="422"/>
        <v>0</v>
      </c>
      <c r="AW2181" s="1">
        <f t="shared" si="423"/>
        <v>0</v>
      </c>
      <c r="AX2181" s="1">
        <f t="shared" si="424"/>
        <v>0</v>
      </c>
    </row>
    <row r="2182" spans="1:50" s="1" customFormat="1" ht="24.95" customHeight="1" outlineLevel="3" x14ac:dyDescent="0.2">
      <c r="A2182" s="26"/>
      <c r="B2182" s="27">
        <v>650</v>
      </c>
      <c r="C2182" s="27">
        <v>940</v>
      </c>
      <c r="D2182" s="27">
        <v>33384</v>
      </c>
      <c r="E2182" s="29" t="s">
        <v>7113</v>
      </c>
      <c r="F2182" s="29" t="s">
        <v>7114</v>
      </c>
      <c r="G2182" s="29" t="s">
        <v>163</v>
      </c>
      <c r="H2182" s="29"/>
      <c r="I2182" s="27">
        <v>2025</v>
      </c>
      <c r="J2182" s="29" t="s">
        <v>7115</v>
      </c>
      <c r="K2182" s="27">
        <v>9785006304475</v>
      </c>
      <c r="L2182" s="29" t="s">
        <v>7116</v>
      </c>
      <c r="M2182" s="27">
        <v>312</v>
      </c>
      <c r="N2182" s="30">
        <v>0.47</v>
      </c>
      <c r="O2182" s="27">
        <v>150</v>
      </c>
      <c r="P2182" s="27">
        <v>220</v>
      </c>
      <c r="Q2182" s="27">
        <v>5</v>
      </c>
      <c r="R2182" s="29" t="s">
        <v>43</v>
      </c>
      <c r="S2182" s="29"/>
      <c r="T2182" s="28">
        <v>1000</v>
      </c>
      <c r="U2182" s="29" t="s">
        <v>52</v>
      </c>
      <c r="V2182" s="29" t="s">
        <v>64</v>
      </c>
      <c r="W2182" s="27">
        <v>10</v>
      </c>
      <c r="X2182" s="37" t="str">
        <f>HYPERLINK("https://www.alpinabook.ru/catalog/book-taym-menedzhment-dlya-detey","ссылка на книгу")</f>
        <v>ссылка на книгу</v>
      </c>
      <c r="Y2182" s="38" t="str">
        <f>HYPERLINK("https://api-enni.alpina.ru/FilePrivilegesApproval/853","https://api-enni.alpina.ru/FilePrivilegesApproval/853")</f>
        <v>https://api-enni.alpina.ru/FilePrivilegesApproval/853</v>
      </c>
      <c r="Z2182" s="29" t="s">
        <v>4937</v>
      </c>
      <c r="AT2182" s="1">
        <f t="shared" si="420"/>
        <v>0</v>
      </c>
      <c r="AU2182" s="1">
        <f t="shared" si="421"/>
        <v>0</v>
      </c>
      <c r="AV2182" s="1">
        <f t="shared" si="422"/>
        <v>0</v>
      </c>
      <c r="AW2182" s="1">
        <f t="shared" si="423"/>
        <v>0</v>
      </c>
      <c r="AX2182" s="1">
        <f t="shared" si="424"/>
        <v>0</v>
      </c>
    </row>
    <row r="2183" spans="1:50" s="1" customFormat="1" ht="24.95" customHeight="1" outlineLevel="3" x14ac:dyDescent="0.2">
      <c r="A2183" s="11"/>
      <c r="B2183" s="12">
        <v>490</v>
      </c>
      <c r="C2183" s="12">
        <v>490</v>
      </c>
      <c r="D2183" s="12">
        <v>25317</v>
      </c>
      <c r="E2183" s="13" t="s">
        <v>6748</v>
      </c>
      <c r="F2183" s="13" t="s">
        <v>7117</v>
      </c>
      <c r="G2183" s="13" t="s">
        <v>163</v>
      </c>
      <c r="H2183" s="13"/>
      <c r="I2183" s="12">
        <v>2022</v>
      </c>
      <c r="J2183" s="13" t="s">
        <v>7118</v>
      </c>
      <c r="K2183" s="12">
        <v>9785961477504</v>
      </c>
      <c r="L2183" s="13" t="s">
        <v>7119</v>
      </c>
      <c r="M2183" s="12">
        <v>224</v>
      </c>
      <c r="N2183" s="14">
        <v>0.23</v>
      </c>
      <c r="O2183" s="12">
        <v>125</v>
      </c>
      <c r="P2183" s="12">
        <v>200</v>
      </c>
      <c r="Q2183" s="12">
        <v>20</v>
      </c>
      <c r="R2183" s="13" t="s">
        <v>82</v>
      </c>
      <c r="S2183" s="13"/>
      <c r="T2183" s="15">
        <v>3000</v>
      </c>
      <c r="U2183" s="13" t="s">
        <v>44</v>
      </c>
      <c r="V2183" s="13" t="s">
        <v>64</v>
      </c>
      <c r="W2183" s="12">
        <v>10</v>
      </c>
      <c r="X2183" s="33" t="str">
        <f>HYPERLINK("https://www.alpinabook.ru/catalog/book-khochu-uchitsya","ссылка на книгу")</f>
        <v>ссылка на книгу</v>
      </c>
      <c r="Y2183" s="34" t="str">
        <f>HYPERLINK("https://api-enni.alpina.ru/FilePrivilegesApproval/153","https://api-enni.alpina.ru/FilePrivilegesApproval/153")</f>
        <v>https://api-enni.alpina.ru/FilePrivilegesApproval/153</v>
      </c>
      <c r="Z2183" s="13"/>
      <c r="AT2183" s="1">
        <f t="shared" si="420"/>
        <v>0</v>
      </c>
      <c r="AU2183" s="1">
        <f t="shared" si="421"/>
        <v>0</v>
      </c>
      <c r="AV2183" s="1">
        <f t="shared" si="422"/>
        <v>0</v>
      </c>
      <c r="AW2183" s="1">
        <f t="shared" si="423"/>
        <v>0</v>
      </c>
      <c r="AX2183" s="1">
        <f t="shared" si="424"/>
        <v>0</v>
      </c>
    </row>
    <row r="2184" spans="1:50" s="1" customFormat="1" ht="24.95" customHeight="1" outlineLevel="3" x14ac:dyDescent="0.2">
      <c r="A2184" s="11"/>
      <c r="B2184" s="12">
        <v>690</v>
      </c>
      <c r="C2184" s="12">
        <v>990</v>
      </c>
      <c r="D2184" s="12">
        <v>5220</v>
      </c>
      <c r="E2184" s="13" t="s">
        <v>1297</v>
      </c>
      <c r="F2184" s="13" t="s">
        <v>7120</v>
      </c>
      <c r="G2184" s="13" t="s">
        <v>86</v>
      </c>
      <c r="H2184" s="13" t="s">
        <v>40</v>
      </c>
      <c r="I2184" s="12">
        <v>2018</v>
      </c>
      <c r="J2184" s="13" t="s">
        <v>7121</v>
      </c>
      <c r="K2184" s="12">
        <v>9785916718232</v>
      </c>
      <c r="L2184" s="13" t="s">
        <v>7122</v>
      </c>
      <c r="M2184" s="12">
        <v>344</v>
      </c>
      <c r="N2184" s="14">
        <v>0.55000000000000004</v>
      </c>
      <c r="O2184" s="12">
        <v>150</v>
      </c>
      <c r="P2184" s="12">
        <v>220</v>
      </c>
      <c r="Q2184" s="12">
        <v>6</v>
      </c>
      <c r="R2184" s="13" t="s">
        <v>43</v>
      </c>
      <c r="S2184" s="13"/>
      <c r="T2184" s="15">
        <v>1000</v>
      </c>
      <c r="U2184" s="13" t="s">
        <v>52</v>
      </c>
      <c r="V2184" s="13" t="s">
        <v>64</v>
      </c>
      <c r="W2184" s="12">
        <v>10</v>
      </c>
      <c r="X2184" s="33" t="str">
        <f>HYPERLINK("https://www.alpinabook.ru/catalog/book-chto-takoe-intellekt-i-kak-ego-razvivat","ссылка на книгу")</f>
        <v>ссылка на книгу</v>
      </c>
      <c r="Y2184" s="34" t="str">
        <f>HYPERLINK("https://api-enni.alpina.ru/FilePrivilegesApproval/5","https://api-enni.alpina.ru/FilePrivilegesApproval/5")</f>
        <v>https://api-enni.alpina.ru/FilePrivilegesApproval/5</v>
      </c>
      <c r="Z2184" s="13"/>
      <c r="AT2184" s="1">
        <f t="shared" si="420"/>
        <v>0</v>
      </c>
      <c r="AU2184" s="1">
        <f t="shared" si="421"/>
        <v>0</v>
      </c>
      <c r="AV2184" s="1">
        <f t="shared" si="422"/>
        <v>0</v>
      </c>
      <c r="AW2184" s="1">
        <f t="shared" si="423"/>
        <v>0</v>
      </c>
      <c r="AX2184" s="1">
        <f t="shared" si="424"/>
        <v>0</v>
      </c>
    </row>
    <row r="2185" spans="1:50" s="1" customFormat="1" ht="24.95" customHeight="1" outlineLevel="3" x14ac:dyDescent="0.2">
      <c r="A2185" s="11"/>
      <c r="B2185" s="12">
        <v>620</v>
      </c>
      <c r="C2185" s="12">
        <v>890</v>
      </c>
      <c r="D2185" s="12">
        <v>29514</v>
      </c>
      <c r="E2185" s="13" t="s">
        <v>6965</v>
      </c>
      <c r="F2185" s="13" t="s">
        <v>7123</v>
      </c>
      <c r="G2185" s="13" t="s">
        <v>163</v>
      </c>
      <c r="H2185" s="13" t="s">
        <v>40</v>
      </c>
      <c r="I2185" s="12">
        <v>2023</v>
      </c>
      <c r="J2185" s="13" t="s">
        <v>7124</v>
      </c>
      <c r="K2185" s="12">
        <v>9785961493429</v>
      </c>
      <c r="L2185" s="13" t="s">
        <v>7125</v>
      </c>
      <c r="M2185" s="12">
        <v>368</v>
      </c>
      <c r="N2185" s="14">
        <v>0.37</v>
      </c>
      <c r="O2185" s="12">
        <v>130</v>
      </c>
      <c r="P2185" s="12">
        <v>200</v>
      </c>
      <c r="Q2185" s="12">
        <v>10</v>
      </c>
      <c r="R2185" s="13" t="s">
        <v>82</v>
      </c>
      <c r="S2185" s="13" t="s">
        <v>7126</v>
      </c>
      <c r="T2185" s="15">
        <v>2000</v>
      </c>
      <c r="U2185" s="13" t="s">
        <v>44</v>
      </c>
      <c r="V2185" s="13" t="s">
        <v>64</v>
      </c>
      <c r="W2185" s="12">
        <v>10</v>
      </c>
      <c r="X2185" s="33" t="str">
        <f>HYPERLINK("https://www.alpinabook.ru/catalog/book-chutkie-roditeli","ссылка на книгу")</f>
        <v>ссылка на книгу</v>
      </c>
      <c r="Y2185" s="34" t="str">
        <f>HYPERLINK("https://api-enni.alpina.ru/FilePrivilegesApproval/385","https://api-enni.alpina.ru/FilePrivilegesApproval/385")</f>
        <v>https://api-enni.alpina.ru/FilePrivilegesApproval/385</v>
      </c>
      <c r="Z2185" s="13"/>
      <c r="AT2185" s="1">
        <f t="shared" si="420"/>
        <v>0</v>
      </c>
      <c r="AU2185" s="1">
        <f t="shared" si="421"/>
        <v>0</v>
      </c>
      <c r="AV2185" s="1">
        <f t="shared" si="422"/>
        <v>0</v>
      </c>
      <c r="AW2185" s="1">
        <f t="shared" si="423"/>
        <v>0</v>
      </c>
      <c r="AX2185" s="1">
        <f t="shared" si="424"/>
        <v>0</v>
      </c>
    </row>
    <row r="2186" spans="1:50" s="1" customFormat="1" ht="24.95" customHeight="1" outlineLevel="3" x14ac:dyDescent="0.2">
      <c r="A2186" s="26"/>
      <c r="B2186" s="27">
        <v>640</v>
      </c>
      <c r="C2186" s="27">
        <v>940</v>
      </c>
      <c r="D2186" s="27">
        <v>17057</v>
      </c>
      <c r="E2186" s="29" t="s">
        <v>7127</v>
      </c>
      <c r="F2186" s="29" t="s">
        <v>7128</v>
      </c>
      <c r="G2186" s="29" t="s">
        <v>97</v>
      </c>
      <c r="H2186" s="29"/>
      <c r="I2186" s="27">
        <v>2020</v>
      </c>
      <c r="J2186" s="29" t="s">
        <v>7129</v>
      </c>
      <c r="K2186" s="27">
        <v>9785907274068</v>
      </c>
      <c r="L2186" s="29" t="s">
        <v>7130</v>
      </c>
      <c r="M2186" s="27">
        <v>312</v>
      </c>
      <c r="N2186" s="30">
        <v>0.48</v>
      </c>
      <c r="O2186" s="27">
        <v>146</v>
      </c>
      <c r="P2186" s="27">
        <v>216</v>
      </c>
      <c r="Q2186" s="27">
        <v>8</v>
      </c>
      <c r="R2186" s="29" t="s">
        <v>43</v>
      </c>
      <c r="S2186" s="29"/>
      <c r="T2186" s="28">
        <v>2000</v>
      </c>
      <c r="U2186" s="29" t="s">
        <v>52</v>
      </c>
      <c r="V2186" s="29" t="s">
        <v>89</v>
      </c>
      <c r="W2186" s="27">
        <v>10</v>
      </c>
      <c r="X2186" s="37" t="str">
        <f>HYPERLINK("https://www.alpinabook.ru/catalog/book-603052","ссылка на книгу")</f>
        <v>ссылка на книгу</v>
      </c>
      <c r="Y2186" s="38" t="str">
        <f>HYPERLINK("https://api-enni.alpina.ru/FilePrivilegesApproval/38","https://api-enni.alpina.ru/FilePrivilegesApproval/38")</f>
        <v>https://api-enni.alpina.ru/FilePrivilegesApproval/38</v>
      </c>
      <c r="Z2186" s="29"/>
      <c r="AT2186" s="1">
        <f t="shared" si="420"/>
        <v>0</v>
      </c>
      <c r="AU2186" s="1">
        <f t="shared" si="421"/>
        <v>0</v>
      </c>
      <c r="AV2186" s="1">
        <f t="shared" si="422"/>
        <v>0</v>
      </c>
      <c r="AW2186" s="1">
        <f t="shared" si="423"/>
        <v>0</v>
      </c>
      <c r="AX2186" s="1">
        <f t="shared" si="424"/>
        <v>0</v>
      </c>
    </row>
    <row r="2187" spans="1:50" ht="11.1" customHeight="1" outlineLevel="2" x14ac:dyDescent="0.2">
      <c r="A2187" s="40" t="s">
        <v>7131</v>
      </c>
      <c r="B2187" s="40"/>
      <c r="C2187" s="40"/>
      <c r="D2187" s="40"/>
      <c r="E2187" s="40"/>
      <c r="F2187" s="40"/>
      <c r="G2187" s="40"/>
      <c r="H2187" s="40"/>
      <c r="I2187" s="40"/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20"/>
    </row>
    <row r="2188" spans="1:50" s="1" customFormat="1" ht="24.95" customHeight="1" outlineLevel="3" x14ac:dyDescent="0.2">
      <c r="A2188" s="11"/>
      <c r="B2188" s="12">
        <v>620</v>
      </c>
      <c r="C2188" s="12">
        <v>890</v>
      </c>
      <c r="D2188" s="12">
        <v>25177</v>
      </c>
      <c r="E2188" s="13" t="s">
        <v>7132</v>
      </c>
      <c r="F2188" s="13" t="s">
        <v>7133</v>
      </c>
      <c r="G2188" s="13" t="s">
        <v>163</v>
      </c>
      <c r="H2188" s="13" t="s">
        <v>1090</v>
      </c>
      <c r="I2188" s="12">
        <v>2024</v>
      </c>
      <c r="J2188" s="13" t="s">
        <v>7134</v>
      </c>
      <c r="K2188" s="12">
        <v>9785961489897</v>
      </c>
      <c r="L2188" s="13" t="s">
        <v>7135</v>
      </c>
      <c r="M2188" s="12">
        <v>304</v>
      </c>
      <c r="N2188" s="14">
        <v>0.32</v>
      </c>
      <c r="O2188" s="12">
        <v>210</v>
      </c>
      <c r="P2188" s="12">
        <v>130</v>
      </c>
      <c r="Q2188" s="12">
        <v>8</v>
      </c>
      <c r="R2188" s="13" t="s">
        <v>82</v>
      </c>
      <c r="S2188" s="13" t="s">
        <v>7126</v>
      </c>
      <c r="T2188" s="15">
        <v>3000</v>
      </c>
      <c r="U2188" s="13" t="s">
        <v>44</v>
      </c>
      <c r="V2188" s="13" t="s">
        <v>59</v>
      </c>
      <c r="W2188" s="12">
        <v>10</v>
      </c>
      <c r="X2188" s="33" t="str">
        <f>HYPERLINK("https://www.alpinabook.ru/catalog/book-vysokochuvstvitelnye","ссылка на книгу")</f>
        <v>ссылка на книгу</v>
      </c>
      <c r="Y2188" s="34" t="str">
        <f>HYPERLINK("https://api-enni.alpina.ru/FilePrivilegesApproval/313","https://api-enni.alpina.ru/FilePrivilegesApproval/313")</f>
        <v>https://api-enni.alpina.ru/FilePrivilegesApproval/313</v>
      </c>
      <c r="Z2188" s="13"/>
      <c r="AT2188" s="1">
        <f>IF($A2188&lt;&gt;0,1,0)</f>
        <v>0</v>
      </c>
      <c r="AU2188" s="1">
        <f>$A2188*$B2188</f>
        <v>0</v>
      </c>
      <c r="AV2188" s="1">
        <f>$A2188*$N2188</f>
        <v>0</v>
      </c>
      <c r="AW2188" s="1">
        <f>IF($Q2188=0,0,INT($A2188/$Q2188))</f>
        <v>0</v>
      </c>
      <c r="AX2188" s="1">
        <f>$A2188-$AW2188*$Q2188</f>
        <v>0</v>
      </c>
    </row>
    <row r="2189" spans="1:50" s="1" customFormat="1" ht="24.95" customHeight="1" outlineLevel="3" x14ac:dyDescent="0.2">
      <c r="A2189" s="11"/>
      <c r="B2189" s="12">
        <v>620</v>
      </c>
      <c r="C2189" s="12">
        <v>890</v>
      </c>
      <c r="D2189" s="12">
        <v>26215</v>
      </c>
      <c r="E2189" s="13" t="s">
        <v>7136</v>
      </c>
      <c r="F2189" s="13" t="s">
        <v>7137</v>
      </c>
      <c r="G2189" s="13" t="s">
        <v>163</v>
      </c>
      <c r="H2189" s="13" t="s">
        <v>40</v>
      </c>
      <c r="I2189" s="12">
        <v>2023</v>
      </c>
      <c r="J2189" s="13" t="s">
        <v>7138</v>
      </c>
      <c r="K2189" s="12">
        <v>9785961480818</v>
      </c>
      <c r="L2189" s="13" t="s">
        <v>7139</v>
      </c>
      <c r="M2189" s="12">
        <v>304</v>
      </c>
      <c r="N2189" s="14">
        <v>0.31</v>
      </c>
      <c r="O2189" s="12">
        <v>130</v>
      </c>
      <c r="P2189" s="12">
        <v>200</v>
      </c>
      <c r="Q2189" s="12">
        <v>8</v>
      </c>
      <c r="R2189" s="13" t="s">
        <v>82</v>
      </c>
      <c r="S2189" s="13" t="s">
        <v>7126</v>
      </c>
      <c r="T2189" s="15">
        <v>2000</v>
      </c>
      <c r="U2189" s="13" t="s">
        <v>44</v>
      </c>
      <c r="V2189" s="13" t="s">
        <v>64</v>
      </c>
      <c r="W2189" s="12">
        <v>10</v>
      </c>
      <c r="X2189" s="33" t="str">
        <f>HYPERLINK("https://www.alpinabook.ru/catalog/book-nauchite-rebenka-dumat","ссылка на книгу")</f>
        <v>ссылка на книгу</v>
      </c>
      <c r="Y2189" s="34" t="str">
        <f>HYPERLINK("https://api-enni.alpina.ru/FilePrivilegesApproval/163","https://api-enni.alpina.ru/FilePrivilegesApproval/163")</f>
        <v>https://api-enni.alpina.ru/FilePrivilegesApproval/163</v>
      </c>
      <c r="Z2189" s="13"/>
      <c r="AT2189" s="1">
        <f>IF($A2189&lt;&gt;0,1,0)</f>
        <v>0</v>
      </c>
      <c r="AU2189" s="1">
        <f>$A2189*$B2189</f>
        <v>0</v>
      </c>
      <c r="AV2189" s="1">
        <f>$A2189*$N2189</f>
        <v>0</v>
      </c>
      <c r="AW2189" s="1">
        <f>IF($Q2189=0,0,INT($A2189/$Q2189))</f>
        <v>0</v>
      </c>
      <c r="AX2189" s="1">
        <f>$A2189-$AW2189*$Q2189</f>
        <v>0</v>
      </c>
    </row>
    <row r="2190" spans="1:50" s="1" customFormat="1" ht="24.95" customHeight="1" outlineLevel="3" x14ac:dyDescent="0.2">
      <c r="A2190" s="11"/>
      <c r="B2190" s="12">
        <v>620</v>
      </c>
      <c r="C2190" s="12">
        <v>890</v>
      </c>
      <c r="D2190" s="12">
        <v>28484</v>
      </c>
      <c r="E2190" s="13" t="s">
        <v>71</v>
      </c>
      <c r="F2190" s="13" t="s">
        <v>7140</v>
      </c>
      <c r="G2190" s="13" t="s">
        <v>163</v>
      </c>
      <c r="H2190" s="13"/>
      <c r="I2190" s="12">
        <v>2023</v>
      </c>
      <c r="J2190" s="13" t="s">
        <v>7141</v>
      </c>
      <c r="K2190" s="12">
        <v>9785961489118</v>
      </c>
      <c r="L2190" s="13" t="s">
        <v>7142</v>
      </c>
      <c r="M2190" s="12">
        <v>320</v>
      </c>
      <c r="N2190" s="14">
        <v>0.33</v>
      </c>
      <c r="O2190" s="12">
        <v>130</v>
      </c>
      <c r="P2190" s="12">
        <v>200</v>
      </c>
      <c r="Q2190" s="12">
        <v>8</v>
      </c>
      <c r="R2190" s="13" t="s">
        <v>82</v>
      </c>
      <c r="S2190" s="13" t="s">
        <v>7126</v>
      </c>
      <c r="T2190" s="15">
        <v>2000</v>
      </c>
      <c r="U2190" s="13" t="s">
        <v>44</v>
      </c>
      <c r="V2190" s="13" t="s">
        <v>45</v>
      </c>
      <c r="W2190" s="12">
        <v>10</v>
      </c>
      <c r="X2190" s="33" t="str">
        <f>HYPERLINK("https://www.alpinabook.ru/catalog/book-osobennye-deti","ссылка на книгу")</f>
        <v>ссылка на книгу</v>
      </c>
      <c r="Y2190" s="34" t="str">
        <f>HYPERLINK("https://api-enni.alpina.ru/FilePrivilegesApproval/280","https://api-enni.alpina.ru/FilePrivilegesApproval/280")</f>
        <v>https://api-enni.alpina.ru/FilePrivilegesApproval/280</v>
      </c>
      <c r="Z2190" s="13"/>
      <c r="AT2190" s="1">
        <f>IF($A2190&lt;&gt;0,1,0)</f>
        <v>0</v>
      </c>
      <c r="AU2190" s="1">
        <f>$A2190*$B2190</f>
        <v>0</v>
      </c>
      <c r="AV2190" s="1">
        <f>$A2190*$N2190</f>
        <v>0</v>
      </c>
      <c r="AW2190" s="1">
        <f>IF($Q2190=0,0,INT($A2190/$Q2190))</f>
        <v>0</v>
      </c>
      <c r="AX2190" s="1">
        <f>$A2190-$AW2190*$Q2190</f>
        <v>0</v>
      </c>
    </row>
    <row r="2191" spans="1:50" s="1" customFormat="1" ht="24.95" customHeight="1" outlineLevel="3" x14ac:dyDescent="0.2">
      <c r="A2191" s="11"/>
      <c r="B2191" s="12">
        <v>620</v>
      </c>
      <c r="C2191" s="12">
        <v>890</v>
      </c>
      <c r="D2191" s="12">
        <v>27583</v>
      </c>
      <c r="E2191" s="13" t="s">
        <v>1688</v>
      </c>
      <c r="F2191" s="13" t="s">
        <v>7143</v>
      </c>
      <c r="G2191" s="13" t="s">
        <v>163</v>
      </c>
      <c r="H2191" s="13"/>
      <c r="I2191" s="12">
        <v>2023</v>
      </c>
      <c r="J2191" s="13" t="s">
        <v>7144</v>
      </c>
      <c r="K2191" s="12">
        <v>9785961485752</v>
      </c>
      <c r="L2191" s="13" t="s">
        <v>7145</v>
      </c>
      <c r="M2191" s="12">
        <v>320</v>
      </c>
      <c r="N2191" s="14">
        <v>0.33</v>
      </c>
      <c r="O2191" s="12">
        <v>130</v>
      </c>
      <c r="P2191" s="12">
        <v>200</v>
      </c>
      <c r="Q2191" s="12">
        <v>8</v>
      </c>
      <c r="R2191" s="13" t="s">
        <v>82</v>
      </c>
      <c r="S2191" s="13" t="s">
        <v>7126</v>
      </c>
      <c r="T2191" s="15">
        <v>3000</v>
      </c>
      <c r="U2191" s="13" t="s">
        <v>44</v>
      </c>
      <c r="V2191" s="13" t="s">
        <v>89</v>
      </c>
      <c r="W2191" s="12">
        <v>10</v>
      </c>
      <c r="X2191" s="33" t="str">
        <f>HYPERLINK("https://www.alpinabook.ru/catalog/book-ostorozhno-pubertat","ссылка на книгу")</f>
        <v>ссылка на книгу</v>
      </c>
      <c r="Y2191" s="34" t="str">
        <f>HYPERLINK("https://api-enni.alpina.ru/FilePrivilegesApproval/128","https://api-enni.alpina.ru/FilePrivilegesApproval/128")</f>
        <v>https://api-enni.alpina.ru/FilePrivilegesApproval/128</v>
      </c>
      <c r="Z2191" s="13"/>
      <c r="AT2191" s="1">
        <f>IF($A2191&lt;&gt;0,1,0)</f>
        <v>0</v>
      </c>
      <c r="AU2191" s="1">
        <f>$A2191*$B2191</f>
        <v>0</v>
      </c>
      <c r="AV2191" s="1">
        <f>$A2191*$N2191</f>
        <v>0</v>
      </c>
      <c r="AW2191" s="1">
        <f>IF($Q2191=0,0,INT($A2191/$Q2191))</f>
        <v>0</v>
      </c>
      <c r="AX2191" s="1">
        <f>$A2191-$AW2191*$Q2191</f>
        <v>0</v>
      </c>
    </row>
    <row r="2192" spans="1:50" s="1" customFormat="1" ht="24.95" customHeight="1" outlineLevel="3" x14ac:dyDescent="0.2">
      <c r="A2192" s="11"/>
      <c r="B2192" s="12">
        <v>680</v>
      </c>
      <c r="C2192" s="12">
        <v>990</v>
      </c>
      <c r="D2192" s="12">
        <v>27725</v>
      </c>
      <c r="E2192" s="13" t="s">
        <v>7146</v>
      </c>
      <c r="F2192" s="13" t="s">
        <v>7147</v>
      </c>
      <c r="G2192" s="13" t="s">
        <v>163</v>
      </c>
      <c r="H2192" s="13" t="s">
        <v>1090</v>
      </c>
      <c r="I2192" s="12">
        <v>2024</v>
      </c>
      <c r="J2192" s="13" t="s">
        <v>7148</v>
      </c>
      <c r="K2192" s="12">
        <v>9785961486117</v>
      </c>
      <c r="L2192" s="13" t="s">
        <v>7149</v>
      </c>
      <c r="M2192" s="12">
        <v>368</v>
      </c>
      <c r="N2192" s="14">
        <v>0.37</v>
      </c>
      <c r="O2192" s="12">
        <v>130</v>
      </c>
      <c r="P2192" s="12">
        <v>200</v>
      </c>
      <c r="Q2192" s="12">
        <v>12</v>
      </c>
      <c r="R2192" s="13" t="s">
        <v>82</v>
      </c>
      <c r="S2192" s="13" t="s">
        <v>7126</v>
      </c>
      <c r="T2192" s="15">
        <v>3000</v>
      </c>
      <c r="U2192" s="13" t="s">
        <v>44</v>
      </c>
      <c r="V2192" s="13" t="s">
        <v>45</v>
      </c>
      <c r="W2192" s="12">
        <v>10</v>
      </c>
      <c r="X2192" s="33" t="str">
        <f>HYPERLINK("https://www.alpinabook.ru/catalog/book-podrostok-i-gadzhety","ссылка на книгу")</f>
        <v>ссылка на книгу</v>
      </c>
      <c r="Y2192" s="34" t="str">
        <f>HYPERLINK("https://api-enni.alpina.ru/FilePrivilegesApproval/415","https://api-enni.alpina.ru/FilePrivilegesApproval/415")</f>
        <v>https://api-enni.alpina.ru/FilePrivilegesApproval/415</v>
      </c>
      <c r="Z2192" s="13"/>
      <c r="AT2192" s="1">
        <f>IF($A2192&lt;&gt;0,1,0)</f>
        <v>0</v>
      </c>
      <c r="AU2192" s="1">
        <f>$A2192*$B2192</f>
        <v>0</v>
      </c>
      <c r="AV2192" s="1">
        <f>$A2192*$N2192</f>
        <v>0</v>
      </c>
      <c r="AW2192" s="1">
        <f>IF($Q2192=0,0,INT($A2192/$Q2192))</f>
        <v>0</v>
      </c>
      <c r="AX2192" s="1">
        <f>$A2192-$AW2192*$Q2192</f>
        <v>0</v>
      </c>
    </row>
    <row r="2193" spans="1:50" ht="15" customHeight="1" outlineLevel="1" x14ac:dyDescent="0.2">
      <c r="A2193" s="39" t="s">
        <v>7150</v>
      </c>
      <c r="B2193" s="39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19"/>
    </row>
    <row r="2194" spans="1:50" ht="11.1" customHeight="1" outlineLevel="2" x14ac:dyDescent="0.2">
      <c r="A2194" s="40" t="s">
        <v>7151</v>
      </c>
      <c r="B2194" s="40"/>
      <c r="C2194" s="40"/>
      <c r="D2194" s="40"/>
      <c r="E2194" s="40"/>
      <c r="F2194" s="40"/>
      <c r="G2194" s="40"/>
      <c r="H2194" s="40"/>
      <c r="I2194" s="40"/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20"/>
    </row>
    <row r="2195" spans="1:50" s="1" customFormat="1" ht="24.95" customHeight="1" outlineLevel="3" x14ac:dyDescent="0.2">
      <c r="A2195" s="21"/>
      <c r="B2195" s="22">
        <v>790</v>
      </c>
      <c r="C2195" s="25">
        <v>1190</v>
      </c>
      <c r="D2195" s="22">
        <v>21199</v>
      </c>
      <c r="E2195" s="23" t="s">
        <v>339</v>
      </c>
      <c r="F2195" s="23" t="s">
        <v>7152</v>
      </c>
      <c r="G2195" s="23" t="s">
        <v>39</v>
      </c>
      <c r="H2195" s="23"/>
      <c r="I2195" s="22">
        <v>2023</v>
      </c>
      <c r="J2195" s="23" t="s">
        <v>7153</v>
      </c>
      <c r="K2195" s="22">
        <v>9785001395003</v>
      </c>
      <c r="L2195" s="23" t="s">
        <v>7154</v>
      </c>
      <c r="M2195" s="22">
        <v>607</v>
      </c>
      <c r="N2195" s="24">
        <v>0.7</v>
      </c>
      <c r="O2195" s="22">
        <v>150</v>
      </c>
      <c r="P2195" s="22">
        <v>220</v>
      </c>
      <c r="Q2195" s="22">
        <v>6</v>
      </c>
      <c r="R2195" s="23" t="s">
        <v>43</v>
      </c>
      <c r="S2195" s="23"/>
      <c r="T2195" s="25">
        <v>10000</v>
      </c>
      <c r="U2195" s="23" t="s">
        <v>52</v>
      </c>
      <c r="V2195" s="23" t="s">
        <v>45</v>
      </c>
      <c r="W2195" s="22">
        <v>10</v>
      </c>
      <c r="X2195" s="35" t="str">
        <f>HYPERLINK("https://www.alpinabook.ru/catalog/book-serdtse-parmy","ссылка на книгу")</f>
        <v>ссылка на книгу</v>
      </c>
      <c r="Y2195" s="36" t="str">
        <f>HYPERLINK("https://api-enni.alpina.ru/FilePrivilegesApproval/150","https://api-enni.alpina.ru/FilePrivilegesApproval/150")</f>
        <v>https://api-enni.alpina.ru/FilePrivilegesApproval/150</v>
      </c>
      <c r="Z2195" s="23"/>
      <c r="AT2195" s="1">
        <f t="shared" ref="AT2195:AT2211" si="425">IF($A2195&lt;&gt;0,1,0)</f>
        <v>0</v>
      </c>
      <c r="AU2195" s="1">
        <f t="shared" ref="AU2195:AU2211" si="426">$A2195*$B2195</f>
        <v>0</v>
      </c>
      <c r="AV2195" s="1">
        <f t="shared" ref="AV2195:AV2211" si="427">$A2195*$N2195</f>
        <v>0</v>
      </c>
      <c r="AW2195" s="1">
        <f t="shared" ref="AW2195:AW2211" si="428">IF($Q2195=0,0,INT($A2195/$Q2195))</f>
        <v>0</v>
      </c>
      <c r="AX2195" s="1">
        <f t="shared" ref="AX2195:AX2211" si="429">$A2195-$AW2195*$Q2195</f>
        <v>0</v>
      </c>
    </row>
    <row r="2196" spans="1:50" s="1" customFormat="1" ht="24.95" customHeight="1" outlineLevel="3" x14ac:dyDescent="0.2">
      <c r="A2196" s="21"/>
      <c r="B2196" s="22">
        <v>430</v>
      </c>
      <c r="C2196" s="22">
        <v>640</v>
      </c>
      <c r="D2196" s="22">
        <v>12390</v>
      </c>
      <c r="E2196" s="23" t="s">
        <v>7155</v>
      </c>
      <c r="F2196" s="23" t="s">
        <v>7156</v>
      </c>
      <c r="G2196" s="23" t="s">
        <v>39</v>
      </c>
      <c r="H2196" s="23" t="s">
        <v>40</v>
      </c>
      <c r="I2196" s="22">
        <v>2025</v>
      </c>
      <c r="J2196" s="23" t="s">
        <v>7157</v>
      </c>
      <c r="K2196" s="22">
        <v>9785961425253</v>
      </c>
      <c r="L2196" s="23" t="s">
        <v>7158</v>
      </c>
      <c r="M2196" s="22">
        <v>352</v>
      </c>
      <c r="N2196" s="24">
        <v>0.51</v>
      </c>
      <c r="O2196" s="22">
        <v>140</v>
      </c>
      <c r="P2196" s="22">
        <v>220</v>
      </c>
      <c r="Q2196" s="22">
        <v>12</v>
      </c>
      <c r="R2196" s="23" t="s">
        <v>43</v>
      </c>
      <c r="S2196" s="23" t="s">
        <v>7159</v>
      </c>
      <c r="T2196" s="25">
        <v>3000</v>
      </c>
      <c r="U2196" s="23" t="s">
        <v>52</v>
      </c>
      <c r="V2196" s="23" t="s">
        <v>45</v>
      </c>
      <c r="W2196" s="22">
        <v>10</v>
      </c>
      <c r="X2196" s="35" t="str">
        <f>HYPERLINK("https://www.alpinabook.ru/catalog/book-1984","ссылка на книгу")</f>
        <v>ссылка на книгу</v>
      </c>
      <c r="Y2196" s="36" t="str">
        <f>HYPERLINK("https://api-enni.alpina.ru/FilePrivilegesApproval/141","https://api-enni.alpina.ru/FilePrivilegesApproval/141")</f>
        <v>https://api-enni.alpina.ru/FilePrivilegesApproval/141</v>
      </c>
      <c r="Z2196" s="23" t="s">
        <v>142</v>
      </c>
      <c r="AT2196" s="1">
        <f t="shared" si="425"/>
        <v>0</v>
      </c>
      <c r="AU2196" s="1">
        <f t="shared" si="426"/>
        <v>0</v>
      </c>
      <c r="AV2196" s="1">
        <f t="shared" si="427"/>
        <v>0</v>
      </c>
      <c r="AW2196" s="1">
        <f t="shared" si="428"/>
        <v>0</v>
      </c>
      <c r="AX2196" s="1">
        <f t="shared" si="429"/>
        <v>0</v>
      </c>
    </row>
    <row r="2197" spans="1:50" s="1" customFormat="1" ht="24.95" customHeight="1" outlineLevel="3" x14ac:dyDescent="0.2">
      <c r="A2197" s="21"/>
      <c r="B2197" s="25">
        <v>1250</v>
      </c>
      <c r="C2197" s="25">
        <v>1490</v>
      </c>
      <c r="D2197" s="22">
        <v>1350</v>
      </c>
      <c r="E2197" s="23" t="s">
        <v>291</v>
      </c>
      <c r="F2197" s="23" t="s">
        <v>292</v>
      </c>
      <c r="G2197" s="23" t="s">
        <v>39</v>
      </c>
      <c r="H2197" s="23" t="s">
        <v>40</v>
      </c>
      <c r="I2197" s="22">
        <v>2025</v>
      </c>
      <c r="J2197" s="23" t="s">
        <v>293</v>
      </c>
      <c r="K2197" s="22">
        <v>9785961467420</v>
      </c>
      <c r="L2197" s="23" t="s">
        <v>294</v>
      </c>
      <c r="M2197" s="25">
        <v>1408</v>
      </c>
      <c r="N2197" s="24">
        <v>1.68</v>
      </c>
      <c r="O2197" s="22">
        <v>150</v>
      </c>
      <c r="P2197" s="22">
        <v>220</v>
      </c>
      <c r="Q2197" s="22">
        <v>2</v>
      </c>
      <c r="R2197" s="23" t="s">
        <v>43</v>
      </c>
      <c r="S2197" s="23"/>
      <c r="T2197" s="25">
        <v>20000</v>
      </c>
      <c r="U2197" s="23" t="s">
        <v>52</v>
      </c>
      <c r="V2197" s="23" t="s">
        <v>45</v>
      </c>
      <c r="W2197" s="22">
        <v>10</v>
      </c>
      <c r="X2197" s="35" t="str">
        <f>HYPERLINK("https://www.alpinabook.ru/catalog/book-atlant-raspravil-plechi","ссылка на книгу")</f>
        <v>ссылка на книгу</v>
      </c>
      <c r="Y2197" s="36" t="str">
        <f>HYPERLINK("https://api-enni.alpina.ru/FilePrivilegesApproval/156","https://api-enni.alpina.ru/FilePrivilegesApproval/156")</f>
        <v>https://api-enni.alpina.ru/FilePrivilegesApproval/156</v>
      </c>
      <c r="Z2197" s="23" t="s">
        <v>295</v>
      </c>
      <c r="AT2197" s="1">
        <f t="shared" si="425"/>
        <v>0</v>
      </c>
      <c r="AU2197" s="1">
        <f t="shared" si="426"/>
        <v>0</v>
      </c>
      <c r="AV2197" s="1">
        <f t="shared" si="427"/>
        <v>0</v>
      </c>
      <c r="AW2197" s="1">
        <f t="shared" si="428"/>
        <v>0</v>
      </c>
      <c r="AX2197" s="1">
        <f t="shared" si="429"/>
        <v>0</v>
      </c>
    </row>
    <row r="2198" spans="1:50" s="1" customFormat="1" ht="24.95" customHeight="1" outlineLevel="3" x14ac:dyDescent="0.2">
      <c r="A2198" s="21"/>
      <c r="B2198" s="22">
        <v>790</v>
      </c>
      <c r="C2198" s="25">
        <v>1190</v>
      </c>
      <c r="D2198" s="22">
        <v>31945</v>
      </c>
      <c r="E2198" s="23" t="s">
        <v>339</v>
      </c>
      <c r="F2198" s="23" t="s">
        <v>340</v>
      </c>
      <c r="G2198" s="23" t="s">
        <v>39</v>
      </c>
      <c r="H2198" s="23"/>
      <c r="I2198" s="22">
        <v>2025</v>
      </c>
      <c r="J2198" s="23" t="s">
        <v>341</v>
      </c>
      <c r="K2198" s="22">
        <v>9785002234530</v>
      </c>
      <c r="L2198" s="23" t="s">
        <v>342</v>
      </c>
      <c r="M2198" s="22">
        <v>536</v>
      </c>
      <c r="N2198" s="24">
        <v>0.6</v>
      </c>
      <c r="O2198" s="22">
        <v>150</v>
      </c>
      <c r="P2198" s="22">
        <v>220</v>
      </c>
      <c r="Q2198" s="22">
        <v>4</v>
      </c>
      <c r="R2198" s="23" t="s">
        <v>43</v>
      </c>
      <c r="S2198" s="23"/>
      <c r="T2198" s="25">
        <v>20000</v>
      </c>
      <c r="U2198" s="23" t="s">
        <v>52</v>
      </c>
      <c r="V2198" s="23" t="s">
        <v>89</v>
      </c>
      <c r="W2198" s="22">
        <v>20</v>
      </c>
      <c r="X2198" s="35" t="str">
        <f>HYPERLINK("https://www.alpinabook.ru/catalog/book-vegetatsiya","ссылка на книгу")</f>
        <v>ссылка на книгу</v>
      </c>
      <c r="Y2198" s="36" t="str">
        <f>HYPERLINK("https://api-enni.alpina.ru/FilePrivilegesApproval/802","https://api-enni.alpina.ru/FilePrivilegesApproval/802")</f>
        <v>https://api-enni.alpina.ru/FilePrivilegesApproval/802</v>
      </c>
      <c r="Z2198" s="23" t="s">
        <v>343</v>
      </c>
      <c r="AT2198" s="1">
        <f t="shared" si="425"/>
        <v>0</v>
      </c>
      <c r="AU2198" s="1">
        <f t="shared" si="426"/>
        <v>0</v>
      </c>
      <c r="AV2198" s="1">
        <f t="shared" si="427"/>
        <v>0</v>
      </c>
      <c r="AW2198" s="1">
        <f t="shared" si="428"/>
        <v>0</v>
      </c>
      <c r="AX2198" s="1">
        <f t="shared" si="429"/>
        <v>0</v>
      </c>
    </row>
    <row r="2199" spans="1:50" s="1" customFormat="1" ht="24.95" customHeight="1" outlineLevel="3" x14ac:dyDescent="0.2">
      <c r="A2199" s="21"/>
      <c r="B2199" s="25">
        <v>1090</v>
      </c>
      <c r="C2199" s="25">
        <v>1490</v>
      </c>
      <c r="D2199" s="22">
        <v>26796</v>
      </c>
      <c r="E2199" s="23" t="s">
        <v>7160</v>
      </c>
      <c r="F2199" s="23" t="s">
        <v>7161</v>
      </c>
      <c r="G2199" s="23" t="s">
        <v>39</v>
      </c>
      <c r="H2199" s="23"/>
      <c r="I2199" s="22">
        <v>2025</v>
      </c>
      <c r="J2199" s="23" t="s">
        <v>7162</v>
      </c>
      <c r="K2199" s="22">
        <v>9785001398394</v>
      </c>
      <c r="L2199" s="23" t="s">
        <v>7163</v>
      </c>
      <c r="M2199" s="22">
        <v>872</v>
      </c>
      <c r="N2199" s="24">
        <v>1.1000000000000001</v>
      </c>
      <c r="O2199" s="22">
        <v>150</v>
      </c>
      <c r="P2199" s="22">
        <v>220</v>
      </c>
      <c r="Q2199" s="22">
        <v>6</v>
      </c>
      <c r="R2199" s="23" t="s">
        <v>43</v>
      </c>
      <c r="S2199" s="23"/>
      <c r="T2199" s="25">
        <v>4000</v>
      </c>
      <c r="U2199" s="23" t="s">
        <v>52</v>
      </c>
      <c r="V2199" s="23" t="s">
        <v>89</v>
      </c>
      <c r="W2199" s="22">
        <v>10</v>
      </c>
      <c r="X2199" s="35" t="str">
        <f>HYPERLINK("https://www.alpinabook.ru/catalog/book-vechnaya-merzlota","ссылка на книгу")</f>
        <v>ссылка на книгу</v>
      </c>
      <c r="Y2199" s="36" t="str">
        <f>HYPERLINK("https://api-enni.alpina.ru/FilePrivilegesApproval/147","https://api-enni.alpina.ru/FilePrivilegesApproval/147")</f>
        <v>https://api-enni.alpina.ru/FilePrivilegesApproval/147</v>
      </c>
      <c r="Z2199" s="23" t="s">
        <v>775</v>
      </c>
      <c r="AT2199" s="1">
        <f t="shared" si="425"/>
        <v>0</v>
      </c>
      <c r="AU2199" s="1">
        <f t="shared" si="426"/>
        <v>0</v>
      </c>
      <c r="AV2199" s="1">
        <f t="shared" si="427"/>
        <v>0</v>
      </c>
      <c r="AW2199" s="1">
        <f t="shared" si="428"/>
        <v>0</v>
      </c>
      <c r="AX2199" s="1">
        <f t="shared" si="429"/>
        <v>0</v>
      </c>
    </row>
    <row r="2200" spans="1:50" s="1" customFormat="1" ht="24.95" customHeight="1" outlineLevel="3" x14ac:dyDescent="0.2">
      <c r="A2200" s="21"/>
      <c r="B2200" s="22">
        <v>690</v>
      </c>
      <c r="C2200" s="22">
        <v>940</v>
      </c>
      <c r="D2200" s="22">
        <v>21198</v>
      </c>
      <c r="E2200" s="23" t="s">
        <v>339</v>
      </c>
      <c r="F2200" s="23" t="s">
        <v>7164</v>
      </c>
      <c r="G2200" s="23" t="s">
        <v>39</v>
      </c>
      <c r="H2200" s="23"/>
      <c r="I2200" s="22">
        <v>2025</v>
      </c>
      <c r="J2200" s="23" t="s">
        <v>7165</v>
      </c>
      <c r="K2200" s="22">
        <v>9785001395034</v>
      </c>
      <c r="L2200" s="23" t="s">
        <v>7166</v>
      </c>
      <c r="M2200" s="22">
        <v>399</v>
      </c>
      <c r="N2200" s="24">
        <v>0.51</v>
      </c>
      <c r="O2200" s="22">
        <v>144</v>
      </c>
      <c r="P2200" s="22">
        <v>212</v>
      </c>
      <c r="Q2200" s="22">
        <v>10</v>
      </c>
      <c r="R2200" s="23" t="s">
        <v>43</v>
      </c>
      <c r="S2200" s="23"/>
      <c r="T2200" s="25">
        <v>2000</v>
      </c>
      <c r="U2200" s="23" t="s">
        <v>52</v>
      </c>
      <c r="V2200" s="23" t="s">
        <v>89</v>
      </c>
      <c r="W2200" s="22">
        <v>10</v>
      </c>
      <c r="X2200" s="35" t="str">
        <f>HYPERLINK("https://www.alpinabook.ru/catalog/book-geograf-globus-propil","ссылка на книгу")</f>
        <v>ссылка на книгу</v>
      </c>
      <c r="Y2200" s="36" t="str">
        <f>HYPERLINK("https://api-enni.alpina.ru/FilePrivilegesApproval/208","https://api-enni.alpina.ru/FilePrivilegesApproval/208")</f>
        <v>https://api-enni.alpina.ru/FilePrivilegesApproval/208</v>
      </c>
      <c r="Z2200" s="23"/>
      <c r="AT2200" s="1">
        <f t="shared" si="425"/>
        <v>0</v>
      </c>
      <c r="AU2200" s="1">
        <f t="shared" si="426"/>
        <v>0</v>
      </c>
      <c r="AV2200" s="1">
        <f t="shared" si="427"/>
        <v>0</v>
      </c>
      <c r="AW2200" s="1">
        <f t="shared" si="428"/>
        <v>0</v>
      </c>
      <c r="AX2200" s="1">
        <f t="shared" si="429"/>
        <v>0</v>
      </c>
    </row>
    <row r="2201" spans="1:50" s="1" customFormat="1" ht="24.95" customHeight="1" outlineLevel="3" x14ac:dyDescent="0.2">
      <c r="A2201" s="21"/>
      <c r="B2201" s="22">
        <v>630</v>
      </c>
      <c r="C2201" s="22">
        <v>630</v>
      </c>
      <c r="D2201" s="22">
        <v>25080</v>
      </c>
      <c r="E2201" s="23" t="s">
        <v>7167</v>
      </c>
      <c r="F2201" s="23" t="s">
        <v>7168</v>
      </c>
      <c r="G2201" s="23" t="s">
        <v>163</v>
      </c>
      <c r="H2201" s="23" t="s">
        <v>40</v>
      </c>
      <c r="I2201" s="22">
        <v>2023</v>
      </c>
      <c r="J2201" s="23" t="s">
        <v>7169</v>
      </c>
      <c r="K2201" s="22">
        <v>9785961476774</v>
      </c>
      <c r="L2201" s="23" t="s">
        <v>7170</v>
      </c>
      <c r="M2201" s="22">
        <v>400</v>
      </c>
      <c r="N2201" s="24">
        <v>0.39</v>
      </c>
      <c r="O2201" s="22">
        <v>140</v>
      </c>
      <c r="P2201" s="22">
        <v>210</v>
      </c>
      <c r="Q2201" s="22">
        <v>10</v>
      </c>
      <c r="R2201" s="23" t="s">
        <v>82</v>
      </c>
      <c r="S2201" s="23" t="s">
        <v>5925</v>
      </c>
      <c r="T2201" s="25">
        <v>2000</v>
      </c>
      <c r="U2201" s="23" t="s">
        <v>52</v>
      </c>
      <c r="V2201" s="23" t="s">
        <v>59</v>
      </c>
      <c r="W2201" s="22">
        <v>10</v>
      </c>
      <c r="X2201" s="35" t="str">
        <f>HYPERLINK("https://www.alpinabook.ru/catalog/book-drugaya-elis","ссылка на книгу")</f>
        <v>ссылка на книгу</v>
      </c>
      <c r="Y2201" s="36" t="str">
        <f>HYPERLINK("https://api-enni.alpina.ru/FileCertificateProject/556","https://api-enni.alpina.ru/FileCertificateProject/556")</f>
        <v>https://api-enni.alpina.ru/FileCertificateProject/556</v>
      </c>
      <c r="Z2201" s="23"/>
      <c r="AT2201" s="1">
        <f t="shared" si="425"/>
        <v>0</v>
      </c>
      <c r="AU2201" s="1">
        <f t="shared" si="426"/>
        <v>0</v>
      </c>
      <c r="AV2201" s="1">
        <f t="shared" si="427"/>
        <v>0</v>
      </c>
      <c r="AW2201" s="1">
        <f t="shared" si="428"/>
        <v>0</v>
      </c>
      <c r="AX2201" s="1">
        <f t="shared" si="429"/>
        <v>0</v>
      </c>
    </row>
    <row r="2202" spans="1:50" s="1" customFormat="1" ht="24.95" customHeight="1" outlineLevel="3" x14ac:dyDescent="0.2">
      <c r="A2202" s="21"/>
      <c r="B2202" s="22">
        <v>990</v>
      </c>
      <c r="C2202" s="25">
        <v>1390</v>
      </c>
      <c r="D2202" s="22">
        <v>1747</v>
      </c>
      <c r="E2202" s="23" t="s">
        <v>291</v>
      </c>
      <c r="F2202" s="23" t="s">
        <v>465</v>
      </c>
      <c r="G2202" s="23" t="s">
        <v>39</v>
      </c>
      <c r="H2202" s="23" t="s">
        <v>40</v>
      </c>
      <c r="I2202" s="22">
        <v>2025</v>
      </c>
      <c r="J2202" s="23" t="s">
        <v>466</v>
      </c>
      <c r="K2202" s="22">
        <v>9785961465372</v>
      </c>
      <c r="L2202" s="23" t="s">
        <v>467</v>
      </c>
      <c r="M2202" s="22">
        <v>808</v>
      </c>
      <c r="N2202" s="24">
        <v>0.99</v>
      </c>
      <c r="O2202" s="22">
        <v>150</v>
      </c>
      <c r="P2202" s="22">
        <v>210</v>
      </c>
      <c r="Q2202" s="22">
        <v>3</v>
      </c>
      <c r="R2202" s="23" t="s">
        <v>43</v>
      </c>
      <c r="S2202" s="23"/>
      <c r="T2202" s="25">
        <v>5000</v>
      </c>
      <c r="U2202" s="23" t="s">
        <v>52</v>
      </c>
      <c r="V2202" s="23" t="s">
        <v>45</v>
      </c>
      <c r="W2202" s="22">
        <v>10</v>
      </c>
      <c r="X2202" s="35" t="str">
        <f>HYPERLINK("https://www.alpinabook.ru/catalog/book-istochnik-2-toma","ссылка на книгу")</f>
        <v>ссылка на книгу</v>
      </c>
      <c r="Y2202" s="36" t="str">
        <f>HYPERLINK("https://api-enni.alpina.ru/FilePrivilegesApproval/2","https://api-enni.alpina.ru/FilePrivilegesApproval/2")</f>
        <v>https://api-enni.alpina.ru/FilePrivilegesApproval/2</v>
      </c>
      <c r="Z2202" s="23"/>
      <c r="AT2202" s="1">
        <f t="shared" si="425"/>
        <v>0</v>
      </c>
      <c r="AU2202" s="1">
        <f t="shared" si="426"/>
        <v>0</v>
      </c>
      <c r="AV2202" s="1">
        <f t="shared" si="427"/>
        <v>0</v>
      </c>
      <c r="AW2202" s="1">
        <f t="shared" si="428"/>
        <v>0</v>
      </c>
      <c r="AX2202" s="1">
        <f t="shared" si="429"/>
        <v>0</v>
      </c>
    </row>
    <row r="2203" spans="1:50" s="1" customFormat="1" ht="21.95" customHeight="1" outlineLevel="3" x14ac:dyDescent="0.2">
      <c r="A2203" s="21"/>
      <c r="B2203" s="22">
        <v>640</v>
      </c>
      <c r="C2203" s="22">
        <v>940</v>
      </c>
      <c r="D2203" s="22">
        <v>28291</v>
      </c>
      <c r="E2203" s="23" t="s">
        <v>7171</v>
      </c>
      <c r="F2203" s="23" t="s">
        <v>7172</v>
      </c>
      <c r="G2203" s="23" t="s">
        <v>49</v>
      </c>
      <c r="H2203" s="23"/>
      <c r="I2203" s="22">
        <v>2023</v>
      </c>
      <c r="J2203" s="23" t="s">
        <v>7173</v>
      </c>
      <c r="K2203" s="22">
        <v>9786017147822</v>
      </c>
      <c r="L2203" s="23" t="s">
        <v>7174</v>
      </c>
      <c r="M2203" s="22">
        <v>184</v>
      </c>
      <c r="N2203" s="24">
        <v>0.36</v>
      </c>
      <c r="O2203" s="22">
        <v>150</v>
      </c>
      <c r="P2203" s="22">
        <v>220</v>
      </c>
      <c r="Q2203" s="22">
        <v>10</v>
      </c>
      <c r="R2203" s="23" t="s">
        <v>43</v>
      </c>
      <c r="S2203" s="23"/>
      <c r="T2203" s="25">
        <v>2000</v>
      </c>
      <c r="U2203" s="23" t="s">
        <v>52</v>
      </c>
      <c r="V2203" s="23" t="s">
        <v>59</v>
      </c>
      <c r="W2203" s="22">
        <v>20</v>
      </c>
      <c r="X2203" s="35" t="str">
        <f>HYPERLINK("https://www.alpinabook.ru/catalog/book-myed-i-nemnogo-polyni","ссылка на книгу")</f>
        <v>ссылка на книгу</v>
      </c>
      <c r="Y2203" s="36" t="str">
        <f>HYPERLINK("","")</f>
        <v/>
      </c>
      <c r="Z2203" s="23"/>
      <c r="AT2203" s="1">
        <f t="shared" si="425"/>
        <v>0</v>
      </c>
      <c r="AU2203" s="1">
        <f t="shared" si="426"/>
        <v>0</v>
      </c>
      <c r="AV2203" s="1">
        <f t="shared" si="427"/>
        <v>0</v>
      </c>
      <c r="AW2203" s="1">
        <f t="shared" si="428"/>
        <v>0</v>
      </c>
      <c r="AX2203" s="1">
        <f t="shared" si="429"/>
        <v>0</v>
      </c>
    </row>
    <row r="2204" spans="1:50" s="1" customFormat="1" ht="24.95" customHeight="1" outlineLevel="3" x14ac:dyDescent="0.2">
      <c r="A2204" s="21"/>
      <c r="B2204" s="22">
        <v>530</v>
      </c>
      <c r="C2204" s="22">
        <v>530</v>
      </c>
      <c r="D2204" s="22">
        <v>26946</v>
      </c>
      <c r="E2204" s="23" t="s">
        <v>7175</v>
      </c>
      <c r="F2204" s="23" t="s">
        <v>7176</v>
      </c>
      <c r="G2204" s="23" t="s">
        <v>163</v>
      </c>
      <c r="H2204" s="23"/>
      <c r="I2204" s="22">
        <v>2023</v>
      </c>
      <c r="J2204" s="23" t="s">
        <v>7177</v>
      </c>
      <c r="K2204" s="22">
        <v>9785961483444</v>
      </c>
      <c r="L2204" s="23" t="s">
        <v>7178</v>
      </c>
      <c r="M2204" s="22">
        <v>384</v>
      </c>
      <c r="N2204" s="24">
        <v>0.56999999999999995</v>
      </c>
      <c r="O2204" s="22">
        <v>140</v>
      </c>
      <c r="P2204" s="22">
        <v>210</v>
      </c>
      <c r="Q2204" s="22">
        <v>10</v>
      </c>
      <c r="R2204" s="23" t="s">
        <v>82</v>
      </c>
      <c r="S2204" s="23" t="s">
        <v>5925</v>
      </c>
      <c r="T2204" s="25">
        <v>2000</v>
      </c>
      <c r="U2204" s="23" t="s">
        <v>52</v>
      </c>
      <c r="V2204" s="23" t="s">
        <v>59</v>
      </c>
      <c r="W2204" s="22">
        <v>10</v>
      </c>
      <c r="X2204" s="35" t="str">
        <f>HYPERLINK("https://www.alpinabook.ru/catalog/book-neprevzoydennye-zvezda-zabveniya","ссылка на книгу")</f>
        <v>ссылка на книгу</v>
      </c>
      <c r="Y2204" s="36" t="str">
        <f>HYPERLINK("https://api-enni.alpina.ru/FileCertificateProject/312","https://api-enni.alpina.ru/FileCertificateProject/312")</f>
        <v>https://api-enni.alpina.ru/FileCertificateProject/312</v>
      </c>
      <c r="Z2204" s="23"/>
      <c r="AT2204" s="1">
        <f t="shared" si="425"/>
        <v>0</v>
      </c>
      <c r="AU2204" s="1">
        <f t="shared" si="426"/>
        <v>0</v>
      </c>
      <c r="AV2204" s="1">
        <f t="shared" si="427"/>
        <v>0</v>
      </c>
      <c r="AW2204" s="1">
        <f t="shared" si="428"/>
        <v>0</v>
      </c>
      <c r="AX2204" s="1">
        <f t="shared" si="429"/>
        <v>0</v>
      </c>
    </row>
    <row r="2205" spans="1:50" s="1" customFormat="1" ht="24.95" customHeight="1" outlineLevel="3" x14ac:dyDescent="0.2">
      <c r="A2205" s="21"/>
      <c r="B2205" s="22">
        <v>540</v>
      </c>
      <c r="C2205" s="22">
        <v>540</v>
      </c>
      <c r="D2205" s="22">
        <v>26088</v>
      </c>
      <c r="E2205" s="23" t="s">
        <v>7179</v>
      </c>
      <c r="F2205" s="23" t="s">
        <v>7180</v>
      </c>
      <c r="G2205" s="23" t="s">
        <v>39</v>
      </c>
      <c r="H2205" s="23"/>
      <c r="I2205" s="22">
        <v>2025</v>
      </c>
      <c r="J2205" s="23" t="s">
        <v>7181</v>
      </c>
      <c r="K2205" s="22">
        <v>9785001397328</v>
      </c>
      <c r="L2205" s="23" t="s">
        <v>7182</v>
      </c>
      <c r="M2205" s="22">
        <v>272</v>
      </c>
      <c r="N2205" s="24">
        <v>0.37</v>
      </c>
      <c r="O2205" s="22">
        <v>140</v>
      </c>
      <c r="P2205" s="22">
        <v>210</v>
      </c>
      <c r="Q2205" s="22">
        <v>14</v>
      </c>
      <c r="R2205" s="23" t="s">
        <v>82</v>
      </c>
      <c r="S2205" s="23"/>
      <c r="T2205" s="25">
        <v>1500</v>
      </c>
      <c r="U2205" s="23" t="s">
        <v>52</v>
      </c>
      <c r="V2205" s="23" t="s">
        <v>89</v>
      </c>
      <c r="W2205" s="22">
        <v>10</v>
      </c>
      <c r="X2205" s="35" t="str">
        <f>HYPERLINK("https://www.alpinabook.ru/catalog/book-otets-smotrit-na-zapad","ссылка на книгу")</f>
        <v>ссылка на книгу</v>
      </c>
      <c r="Y2205" s="36" t="str">
        <f>HYPERLINK("https://api-enni.alpina.ru/FilePrivilegesApproval/171","https://api-enni.alpina.ru/FilePrivilegesApproval/171")</f>
        <v>https://api-enni.alpina.ru/FilePrivilegesApproval/171</v>
      </c>
      <c r="Z2205" s="23" t="s">
        <v>277</v>
      </c>
      <c r="AT2205" s="1">
        <f t="shared" si="425"/>
        <v>0</v>
      </c>
      <c r="AU2205" s="1">
        <f t="shared" si="426"/>
        <v>0</v>
      </c>
      <c r="AV2205" s="1">
        <f t="shared" si="427"/>
        <v>0</v>
      </c>
      <c r="AW2205" s="1">
        <f t="shared" si="428"/>
        <v>0</v>
      </c>
      <c r="AX2205" s="1">
        <f t="shared" si="429"/>
        <v>0</v>
      </c>
    </row>
    <row r="2206" spans="1:50" s="1" customFormat="1" ht="24.95" customHeight="1" outlineLevel="3" x14ac:dyDescent="0.2">
      <c r="A2206" s="21"/>
      <c r="B2206" s="22">
        <v>360</v>
      </c>
      <c r="C2206" s="22">
        <v>540</v>
      </c>
      <c r="D2206" s="22">
        <v>29584</v>
      </c>
      <c r="E2206" s="23" t="s">
        <v>7179</v>
      </c>
      <c r="F2206" s="23" t="s">
        <v>7183</v>
      </c>
      <c r="G2206" s="23" t="s">
        <v>39</v>
      </c>
      <c r="H2206" s="23"/>
      <c r="I2206" s="22">
        <v>2024</v>
      </c>
      <c r="J2206" s="23" t="s">
        <v>7184</v>
      </c>
      <c r="K2206" s="22">
        <v>9785002231607</v>
      </c>
      <c r="L2206" s="23" t="s">
        <v>7185</v>
      </c>
      <c r="M2206" s="22">
        <v>250</v>
      </c>
      <c r="N2206" s="24">
        <v>0.17</v>
      </c>
      <c r="O2206" s="22">
        <v>120</v>
      </c>
      <c r="P2206" s="22">
        <v>170</v>
      </c>
      <c r="Q2206" s="22">
        <v>6</v>
      </c>
      <c r="R2206" s="23" t="s">
        <v>75</v>
      </c>
      <c r="S2206" s="23" t="s">
        <v>7186</v>
      </c>
      <c r="T2206" s="25">
        <v>4000</v>
      </c>
      <c r="U2206" s="23" t="s">
        <v>44</v>
      </c>
      <c r="V2206" s="23" t="s">
        <v>89</v>
      </c>
      <c r="W2206" s="22">
        <v>10</v>
      </c>
      <c r="X2206" s="35" t="str">
        <f>HYPERLINK("https://www.alpinabook.ru/catalog/book-otets-smotrit-na-zapad","ссылка на книгу")</f>
        <v>ссылка на книгу</v>
      </c>
      <c r="Y2206" s="36" t="str">
        <f>HYPERLINK("https://api-enni.alpina.ru/FilePrivilegesApproval/171","https://api-enni.alpina.ru/FilePrivilegesApproval/171")</f>
        <v>https://api-enni.alpina.ru/FilePrivilegesApproval/171</v>
      </c>
      <c r="Z2206" s="23"/>
      <c r="AT2206" s="1">
        <f t="shared" si="425"/>
        <v>0</v>
      </c>
      <c r="AU2206" s="1">
        <f t="shared" si="426"/>
        <v>0</v>
      </c>
      <c r="AV2206" s="1">
        <f t="shared" si="427"/>
        <v>0</v>
      </c>
      <c r="AW2206" s="1">
        <f t="shared" si="428"/>
        <v>0</v>
      </c>
      <c r="AX2206" s="1">
        <f t="shared" si="429"/>
        <v>0</v>
      </c>
    </row>
    <row r="2207" spans="1:50" s="1" customFormat="1" ht="24.95" customHeight="1" outlineLevel="3" x14ac:dyDescent="0.2">
      <c r="A2207" s="21"/>
      <c r="B2207" s="25">
        <v>1890</v>
      </c>
      <c r="C2207" s="25">
        <v>2390</v>
      </c>
      <c r="D2207" s="22">
        <v>30617</v>
      </c>
      <c r="E2207" s="23" t="s">
        <v>7187</v>
      </c>
      <c r="F2207" s="23" t="s">
        <v>7188</v>
      </c>
      <c r="G2207" s="23" t="s">
        <v>97</v>
      </c>
      <c r="H2207" s="23"/>
      <c r="I2207" s="22">
        <v>2024</v>
      </c>
      <c r="J2207" s="23" t="s">
        <v>7189</v>
      </c>
      <c r="K2207" s="22">
        <v>9785206003314</v>
      </c>
      <c r="L2207" s="23" t="s">
        <v>7190</v>
      </c>
      <c r="M2207" s="22">
        <v>624</v>
      </c>
      <c r="N2207" s="24">
        <v>1.06</v>
      </c>
      <c r="O2207" s="22">
        <v>150</v>
      </c>
      <c r="P2207" s="22">
        <v>220</v>
      </c>
      <c r="Q2207" s="22">
        <v>20</v>
      </c>
      <c r="R2207" s="23" t="s">
        <v>43</v>
      </c>
      <c r="S2207" s="23"/>
      <c r="T2207" s="25">
        <v>3005</v>
      </c>
      <c r="U2207" s="23" t="s">
        <v>52</v>
      </c>
      <c r="V2207" s="23" t="s">
        <v>89</v>
      </c>
      <c r="W2207" s="22">
        <v>20</v>
      </c>
      <c r="X2207" s="35" t="str">
        <f>HYPERLINK("https://www.alpinabook.ru/catalog/book-schaste-tvorcheskogo-poiska","ссылка на книгу")</f>
        <v>ссылка на книгу</v>
      </c>
      <c r="Y2207" s="36" t="str">
        <f>HYPERLINK("https://api-enni.alpina.ru/FilePrivilegesApproval/708","https://api-enni.alpina.ru/FilePrivilegesApproval/708")</f>
        <v>https://api-enni.alpina.ru/FilePrivilegesApproval/708</v>
      </c>
      <c r="Z2207" s="23"/>
      <c r="AT2207" s="1">
        <f t="shared" si="425"/>
        <v>0</v>
      </c>
      <c r="AU2207" s="1">
        <f t="shared" si="426"/>
        <v>0</v>
      </c>
      <c r="AV2207" s="1">
        <f t="shared" si="427"/>
        <v>0</v>
      </c>
      <c r="AW2207" s="1">
        <f t="shared" si="428"/>
        <v>0</v>
      </c>
      <c r="AX2207" s="1">
        <f t="shared" si="429"/>
        <v>0</v>
      </c>
    </row>
    <row r="2208" spans="1:50" s="1" customFormat="1" ht="24.95" customHeight="1" outlineLevel="3" x14ac:dyDescent="0.2">
      <c r="A2208" s="21"/>
      <c r="B2208" s="22">
        <v>490</v>
      </c>
      <c r="C2208" s="22">
        <v>790</v>
      </c>
      <c r="D2208" s="22">
        <v>24223</v>
      </c>
      <c r="E2208" s="23" t="s">
        <v>7191</v>
      </c>
      <c r="F2208" s="23" t="s">
        <v>7192</v>
      </c>
      <c r="G2208" s="23" t="s">
        <v>39</v>
      </c>
      <c r="H2208" s="23"/>
      <c r="I2208" s="22">
        <v>2023</v>
      </c>
      <c r="J2208" s="23" t="s">
        <v>7193</v>
      </c>
      <c r="K2208" s="22">
        <v>9785001395676</v>
      </c>
      <c r="L2208" s="23" t="s">
        <v>7194</v>
      </c>
      <c r="M2208" s="22">
        <v>280</v>
      </c>
      <c r="N2208" s="24">
        <v>0.33</v>
      </c>
      <c r="O2208" s="22">
        <v>130</v>
      </c>
      <c r="P2208" s="22">
        <v>210</v>
      </c>
      <c r="Q2208" s="22">
        <v>14</v>
      </c>
      <c r="R2208" s="23" t="s">
        <v>82</v>
      </c>
      <c r="S2208" s="23"/>
      <c r="T2208" s="25">
        <v>3000</v>
      </c>
      <c r="U2208" s="23" t="s">
        <v>52</v>
      </c>
      <c r="V2208" s="23" t="s">
        <v>59</v>
      </c>
      <c r="W2208" s="22">
        <v>10</v>
      </c>
      <c r="X2208" s="35" t="str">
        <f>HYPERLINK("https://www.alpinabook.ru/catalog/book-tipa-ya","ссылка на книгу")</f>
        <v>ссылка на книгу</v>
      </c>
      <c r="Y2208" s="36" t="str">
        <f>HYPERLINK("https://api-enni.alpina.ru/FilePrivilegesApproval/147","https://api-enni.alpina.ru/FilePrivilegesApproval/147")</f>
        <v>https://api-enni.alpina.ru/FilePrivilegesApproval/147</v>
      </c>
      <c r="Z2208" s="23"/>
      <c r="AT2208" s="1">
        <f t="shared" si="425"/>
        <v>0</v>
      </c>
      <c r="AU2208" s="1">
        <f t="shared" si="426"/>
        <v>0</v>
      </c>
      <c r="AV2208" s="1">
        <f t="shared" si="427"/>
        <v>0</v>
      </c>
      <c r="AW2208" s="1">
        <f t="shared" si="428"/>
        <v>0</v>
      </c>
      <c r="AX2208" s="1">
        <f t="shared" si="429"/>
        <v>0</v>
      </c>
    </row>
    <row r="2209" spans="1:50" s="1" customFormat="1" ht="24.95" customHeight="1" outlineLevel="3" x14ac:dyDescent="0.2">
      <c r="A2209" s="21"/>
      <c r="B2209" s="25">
        <v>1890</v>
      </c>
      <c r="C2209" s="25">
        <v>2390</v>
      </c>
      <c r="D2209" s="22">
        <v>25362</v>
      </c>
      <c r="E2209" s="23" t="s">
        <v>339</v>
      </c>
      <c r="F2209" s="23" t="s">
        <v>7195</v>
      </c>
      <c r="G2209" s="23" t="s">
        <v>39</v>
      </c>
      <c r="H2209" s="23"/>
      <c r="I2209" s="22">
        <v>2024</v>
      </c>
      <c r="J2209" s="23" t="s">
        <v>7196</v>
      </c>
      <c r="K2209" s="22">
        <v>9785001397700</v>
      </c>
      <c r="L2209" s="23" t="s">
        <v>7197</v>
      </c>
      <c r="M2209" s="25">
        <v>1415</v>
      </c>
      <c r="N2209" s="24">
        <v>1.47</v>
      </c>
      <c r="O2209" s="22">
        <v>150</v>
      </c>
      <c r="P2209" s="22">
        <v>220</v>
      </c>
      <c r="Q2209" s="22">
        <v>2</v>
      </c>
      <c r="R2209" s="23" t="s">
        <v>43</v>
      </c>
      <c r="S2209" s="23"/>
      <c r="T2209" s="25">
        <v>4000</v>
      </c>
      <c r="U2209" s="23" t="s">
        <v>52</v>
      </c>
      <c r="V2209" s="23" t="s">
        <v>89</v>
      </c>
      <c r="W2209" s="22">
        <v>10</v>
      </c>
      <c r="X2209" s="35" t="str">
        <f>HYPERLINK("https://www.alpinabook.ru/catalog/book-tobol","ссылка на книгу")</f>
        <v>ссылка на книгу</v>
      </c>
      <c r="Y2209" s="36" t="str">
        <f>HYPERLINK("https://api-enni.alpina.ru/FilePrivilegesApproval/179","https://api-enni.alpina.ru/FilePrivilegesApproval/179")</f>
        <v>https://api-enni.alpina.ru/FilePrivilegesApproval/179</v>
      </c>
      <c r="Z2209" s="23"/>
      <c r="AT2209" s="1">
        <f t="shared" si="425"/>
        <v>0</v>
      </c>
      <c r="AU2209" s="1">
        <f t="shared" si="426"/>
        <v>0</v>
      </c>
      <c r="AV2209" s="1">
        <f t="shared" si="427"/>
        <v>0</v>
      </c>
      <c r="AW2209" s="1">
        <f t="shared" si="428"/>
        <v>0</v>
      </c>
      <c r="AX2209" s="1">
        <f t="shared" si="429"/>
        <v>0</v>
      </c>
    </row>
    <row r="2210" spans="1:50" s="1" customFormat="1" ht="24.95" customHeight="1" outlineLevel="3" x14ac:dyDescent="0.2">
      <c r="A2210" s="21"/>
      <c r="B2210" s="22">
        <v>590</v>
      </c>
      <c r="C2210" s="22">
        <v>840</v>
      </c>
      <c r="D2210" s="22">
        <v>12749</v>
      </c>
      <c r="E2210" s="23" t="s">
        <v>7167</v>
      </c>
      <c r="F2210" s="23" t="s">
        <v>7198</v>
      </c>
      <c r="G2210" s="23" t="s">
        <v>163</v>
      </c>
      <c r="H2210" s="23" t="s">
        <v>40</v>
      </c>
      <c r="I2210" s="22">
        <v>2022</v>
      </c>
      <c r="J2210" s="23" t="s">
        <v>7199</v>
      </c>
      <c r="K2210" s="22">
        <v>9785961429961</v>
      </c>
      <c r="L2210" s="23" t="s">
        <v>7200</v>
      </c>
      <c r="M2210" s="22">
        <v>415</v>
      </c>
      <c r="N2210" s="24">
        <v>0.4</v>
      </c>
      <c r="O2210" s="22">
        <v>130</v>
      </c>
      <c r="P2210" s="22">
        <v>204</v>
      </c>
      <c r="Q2210" s="22">
        <v>10</v>
      </c>
      <c r="R2210" s="23" t="s">
        <v>82</v>
      </c>
      <c r="S2210" s="23" t="s">
        <v>5925</v>
      </c>
      <c r="T2210" s="25">
        <v>4000</v>
      </c>
      <c r="U2210" s="23" t="s">
        <v>52</v>
      </c>
      <c r="V2210" s="23" t="s">
        <v>59</v>
      </c>
      <c r="W2210" s="22">
        <v>10</v>
      </c>
      <c r="X2210" s="35" t="str">
        <f>HYPERLINK("https://www.alpinabook.ru/catalog/book-shchepotka-magii","ссылка на книгу")</f>
        <v>ссылка на книгу</v>
      </c>
      <c r="Y2210" s="36" t="str">
        <f>HYPERLINK("https://api-enni.alpina.ru/FileCertificateProject/82","https://api-enni.alpina.ru/FileCertificateProject/82")</f>
        <v>https://api-enni.alpina.ru/FileCertificateProject/82</v>
      </c>
      <c r="Z2210" s="23"/>
      <c r="AT2210" s="1">
        <f t="shared" si="425"/>
        <v>0</v>
      </c>
      <c r="AU2210" s="1">
        <f t="shared" si="426"/>
        <v>0</v>
      </c>
      <c r="AV2210" s="1">
        <f t="shared" si="427"/>
        <v>0</v>
      </c>
      <c r="AW2210" s="1">
        <f t="shared" si="428"/>
        <v>0</v>
      </c>
      <c r="AX2210" s="1">
        <f t="shared" si="429"/>
        <v>0</v>
      </c>
    </row>
    <row r="2211" spans="1:50" s="1" customFormat="1" ht="24.95" customHeight="1" outlineLevel="3" x14ac:dyDescent="0.2">
      <c r="A2211" s="21"/>
      <c r="B2211" s="22">
        <v>840</v>
      </c>
      <c r="C2211" s="25">
        <v>1290</v>
      </c>
      <c r="D2211" s="22">
        <v>30845</v>
      </c>
      <c r="E2211" s="23" t="s">
        <v>7167</v>
      </c>
      <c r="F2211" s="23" t="s">
        <v>7198</v>
      </c>
      <c r="G2211" s="23" t="s">
        <v>163</v>
      </c>
      <c r="H2211" s="23" t="s">
        <v>40</v>
      </c>
      <c r="I2211" s="22">
        <v>2025</v>
      </c>
      <c r="J2211" s="23" t="s">
        <v>7201</v>
      </c>
      <c r="K2211" s="22">
        <v>9785961496758</v>
      </c>
      <c r="L2211" s="23" t="s">
        <v>7202</v>
      </c>
      <c r="M2211" s="22">
        <v>415</v>
      </c>
      <c r="N2211" s="24">
        <v>0.37</v>
      </c>
      <c r="O2211" s="22">
        <v>130</v>
      </c>
      <c r="P2211" s="22">
        <v>210</v>
      </c>
      <c r="Q2211" s="22">
        <v>5</v>
      </c>
      <c r="R2211" s="23" t="s">
        <v>82</v>
      </c>
      <c r="S2211" s="23" t="s">
        <v>5925</v>
      </c>
      <c r="T2211" s="25">
        <v>2000</v>
      </c>
      <c r="U2211" s="23" t="s">
        <v>52</v>
      </c>
      <c r="V2211" s="23" t="s">
        <v>59</v>
      </c>
      <c r="W2211" s="22">
        <v>10</v>
      </c>
      <c r="X2211" s="35" t="str">
        <f>HYPERLINK("https://www.alpinabook.ru/catalog/book-shchepotka-magii","ссылка на книгу")</f>
        <v>ссылка на книгу</v>
      </c>
      <c r="Y2211" s="36" t="str">
        <f>HYPERLINK("https://api-enni.alpina.ru/FileCertificateProject/82","https://api-enni.alpina.ru/FileCertificateProject/82")</f>
        <v>https://api-enni.alpina.ru/FileCertificateProject/82</v>
      </c>
      <c r="Z2211" s="23" t="s">
        <v>70</v>
      </c>
      <c r="AT2211" s="1">
        <f t="shared" si="425"/>
        <v>0</v>
      </c>
      <c r="AU2211" s="1">
        <f t="shared" si="426"/>
        <v>0</v>
      </c>
      <c r="AV2211" s="1">
        <f t="shared" si="427"/>
        <v>0</v>
      </c>
      <c r="AW2211" s="1">
        <f t="shared" si="428"/>
        <v>0</v>
      </c>
      <c r="AX2211" s="1">
        <f t="shared" si="429"/>
        <v>0</v>
      </c>
    </row>
    <row r="2212" spans="1:50" ht="11.1" customHeight="1" outlineLevel="2" x14ac:dyDescent="0.2">
      <c r="A2212" s="40" t="s">
        <v>7203</v>
      </c>
      <c r="B2212" s="40"/>
      <c r="C2212" s="40"/>
      <c r="D2212" s="40"/>
      <c r="E2212" s="40"/>
      <c r="F2212" s="40"/>
      <c r="G2212" s="40"/>
      <c r="H2212" s="40"/>
      <c r="I2212" s="40"/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20"/>
    </row>
    <row r="2213" spans="1:50" s="1" customFormat="1" ht="24.95" customHeight="1" outlineLevel="3" x14ac:dyDescent="0.2">
      <c r="A2213" s="11"/>
      <c r="B2213" s="12">
        <v>730</v>
      </c>
      <c r="C2213" s="15">
        <v>1090</v>
      </c>
      <c r="D2213" s="12">
        <v>27479</v>
      </c>
      <c r="E2213" s="13" t="s">
        <v>7204</v>
      </c>
      <c r="F2213" s="13" t="s">
        <v>7205</v>
      </c>
      <c r="G2213" s="13" t="s">
        <v>39</v>
      </c>
      <c r="H2213" s="13"/>
      <c r="I2213" s="12">
        <v>2023</v>
      </c>
      <c r="J2213" s="13" t="s">
        <v>7206</v>
      </c>
      <c r="K2213" s="12">
        <v>9785961485288</v>
      </c>
      <c r="L2213" s="13" t="s">
        <v>7207</v>
      </c>
      <c r="M2213" s="12">
        <v>310</v>
      </c>
      <c r="N2213" s="14">
        <v>0.54</v>
      </c>
      <c r="O2213" s="12">
        <v>170</v>
      </c>
      <c r="P2213" s="12">
        <v>220</v>
      </c>
      <c r="Q2213" s="12">
        <v>24</v>
      </c>
      <c r="R2213" s="13" t="s">
        <v>100</v>
      </c>
      <c r="S2213" s="13" t="s">
        <v>7208</v>
      </c>
      <c r="T2213" s="15">
        <v>4000</v>
      </c>
      <c r="U2213" s="13" t="s">
        <v>268</v>
      </c>
      <c r="V2213" s="13" t="s">
        <v>59</v>
      </c>
      <c r="W2213" s="12">
        <v>10</v>
      </c>
      <c r="X2213" s="33" t="str">
        <f>HYPERLINK("https://www.alpinabook.ru/catalog/book-belaya-gvardiya","ссылка на книгу")</f>
        <v>ссылка на книгу</v>
      </c>
      <c r="Y2213" s="34" t="str">
        <f>HYPERLINK("https://api-enni.alpina.ru/FilePrivilegesApproval/210","https://api-enni.alpina.ru/FilePrivilegesApproval/210")</f>
        <v>https://api-enni.alpina.ru/FilePrivilegesApproval/210</v>
      </c>
      <c r="Z2213" s="13"/>
      <c r="AT2213" s="1">
        <f t="shared" ref="AT2213:AT2235" si="430">IF($A2213&lt;&gt;0,1,0)</f>
        <v>0</v>
      </c>
      <c r="AU2213" s="1">
        <f t="shared" ref="AU2213:AU2235" si="431">$A2213*$B2213</f>
        <v>0</v>
      </c>
      <c r="AV2213" s="1">
        <f t="shared" ref="AV2213:AV2235" si="432">$A2213*$N2213</f>
        <v>0</v>
      </c>
      <c r="AW2213" s="1">
        <f t="shared" ref="AW2213:AW2235" si="433">IF($Q2213=0,0,INT($A2213/$Q2213))</f>
        <v>0</v>
      </c>
      <c r="AX2213" s="1">
        <f t="shared" ref="AX2213:AX2235" si="434">$A2213-$AW2213*$Q2213</f>
        <v>0</v>
      </c>
    </row>
    <row r="2214" spans="1:50" s="1" customFormat="1" ht="24.95" customHeight="1" outlineLevel="3" x14ac:dyDescent="0.2">
      <c r="A2214" s="11"/>
      <c r="B2214" s="12">
        <v>890</v>
      </c>
      <c r="C2214" s="15">
        <v>1290</v>
      </c>
      <c r="D2214" s="12">
        <v>27456</v>
      </c>
      <c r="E2214" s="13" t="s">
        <v>7209</v>
      </c>
      <c r="F2214" s="13" t="s">
        <v>7210</v>
      </c>
      <c r="G2214" s="13" t="s">
        <v>39</v>
      </c>
      <c r="H2214" s="13"/>
      <c r="I2214" s="12">
        <v>2024</v>
      </c>
      <c r="J2214" s="13" t="s">
        <v>7211</v>
      </c>
      <c r="K2214" s="12">
        <v>9785961485219</v>
      </c>
      <c r="L2214" s="13" t="s">
        <v>7212</v>
      </c>
      <c r="M2214" s="12">
        <v>602</v>
      </c>
      <c r="N2214" s="14">
        <v>0.94</v>
      </c>
      <c r="O2214" s="12">
        <v>170</v>
      </c>
      <c r="P2214" s="12">
        <v>220</v>
      </c>
      <c r="Q2214" s="12">
        <v>12</v>
      </c>
      <c r="R2214" s="13" t="s">
        <v>100</v>
      </c>
      <c r="S2214" s="13" t="s">
        <v>7208</v>
      </c>
      <c r="T2214" s="15">
        <v>4000</v>
      </c>
      <c r="U2214" s="13" t="s">
        <v>268</v>
      </c>
      <c r="V2214" s="13" t="s">
        <v>45</v>
      </c>
      <c r="W2214" s="12">
        <v>10</v>
      </c>
      <c r="X2214" s="33" t="str">
        <f>HYPERLINK("https://www.alpinabook.ru/catalog/book-besy","ссылка на книгу")</f>
        <v>ссылка на книгу</v>
      </c>
      <c r="Y2214" s="34" t="str">
        <f>HYPERLINK("https://api-enni.alpina.ru/FilePrivilegesApproval/221","https://api-enni.alpina.ru/FilePrivilegesApproval/221")</f>
        <v>https://api-enni.alpina.ru/FilePrivilegesApproval/221</v>
      </c>
      <c r="Z2214" s="13"/>
      <c r="AT2214" s="1">
        <f t="shared" si="430"/>
        <v>0</v>
      </c>
      <c r="AU2214" s="1">
        <f t="shared" si="431"/>
        <v>0</v>
      </c>
      <c r="AV2214" s="1">
        <f t="shared" si="432"/>
        <v>0</v>
      </c>
      <c r="AW2214" s="1">
        <f t="shared" si="433"/>
        <v>0</v>
      </c>
      <c r="AX2214" s="1">
        <f t="shared" si="434"/>
        <v>0</v>
      </c>
    </row>
    <row r="2215" spans="1:50" s="1" customFormat="1" ht="24.95" customHeight="1" outlineLevel="3" x14ac:dyDescent="0.2">
      <c r="A2215" s="11"/>
      <c r="B2215" s="12">
        <v>730</v>
      </c>
      <c r="C2215" s="15">
        <v>1090</v>
      </c>
      <c r="D2215" s="12">
        <v>27402</v>
      </c>
      <c r="E2215" s="13" t="s">
        <v>7213</v>
      </c>
      <c r="F2215" s="13" t="s">
        <v>7214</v>
      </c>
      <c r="G2215" s="13" t="s">
        <v>39</v>
      </c>
      <c r="H2215" s="13"/>
      <c r="I2215" s="12">
        <v>2024</v>
      </c>
      <c r="J2215" s="13" t="s">
        <v>7215</v>
      </c>
      <c r="K2215" s="12">
        <v>9785961484830</v>
      </c>
      <c r="L2215" s="13" t="s">
        <v>7216</v>
      </c>
      <c r="M2215" s="12">
        <v>254</v>
      </c>
      <c r="N2215" s="14">
        <v>0.48</v>
      </c>
      <c r="O2215" s="12">
        <v>170</v>
      </c>
      <c r="P2215" s="12">
        <v>220</v>
      </c>
      <c r="Q2215" s="12">
        <v>28</v>
      </c>
      <c r="R2215" s="13" t="s">
        <v>100</v>
      </c>
      <c r="S2215" s="13" t="s">
        <v>7208</v>
      </c>
      <c r="T2215" s="15">
        <v>3000</v>
      </c>
      <c r="U2215" s="13" t="s">
        <v>268</v>
      </c>
      <c r="V2215" s="13" t="s">
        <v>59</v>
      </c>
      <c r="W2215" s="12">
        <v>10</v>
      </c>
      <c r="X2215" s="33" t="str">
        <f>HYPERLINK("https://www.alpinabook.ru/catalog/book-boris-godunov-kapitanskaya-dochka","ссылка на книгу")</f>
        <v>ссылка на книгу</v>
      </c>
      <c r="Y2215" s="34" t="str">
        <f>HYPERLINK("https://api-enni.alpina.ru/FilePrivilegesApproval/200","https://api-enni.alpina.ru/FilePrivilegesApproval/200")</f>
        <v>https://api-enni.alpina.ru/FilePrivilegesApproval/200</v>
      </c>
      <c r="Z2215" s="13"/>
      <c r="AT2215" s="1">
        <f t="shared" si="430"/>
        <v>0</v>
      </c>
      <c r="AU2215" s="1">
        <f t="shared" si="431"/>
        <v>0</v>
      </c>
      <c r="AV2215" s="1">
        <f t="shared" si="432"/>
        <v>0</v>
      </c>
      <c r="AW2215" s="1">
        <f t="shared" si="433"/>
        <v>0</v>
      </c>
      <c r="AX2215" s="1">
        <f t="shared" si="434"/>
        <v>0</v>
      </c>
    </row>
    <row r="2216" spans="1:50" s="1" customFormat="1" ht="24.95" customHeight="1" outlineLevel="3" x14ac:dyDescent="0.2">
      <c r="A2216" s="11"/>
      <c r="B2216" s="15">
        <v>1490</v>
      </c>
      <c r="C2216" s="15">
        <v>1890</v>
      </c>
      <c r="D2216" s="12">
        <v>27534</v>
      </c>
      <c r="E2216" s="13" t="s">
        <v>7217</v>
      </c>
      <c r="F2216" s="13" t="s">
        <v>7218</v>
      </c>
      <c r="G2216" s="13" t="s">
        <v>39</v>
      </c>
      <c r="H2216" s="13"/>
      <c r="I2216" s="12">
        <v>2024</v>
      </c>
      <c r="J2216" s="13" t="s">
        <v>7219</v>
      </c>
      <c r="K2216" s="12">
        <v>9785961485530</v>
      </c>
      <c r="L2216" s="13" t="s">
        <v>7220</v>
      </c>
      <c r="M2216" s="15">
        <v>1304</v>
      </c>
      <c r="N2216" s="14">
        <v>2.0099999999999998</v>
      </c>
      <c r="O2216" s="12">
        <v>170</v>
      </c>
      <c r="P2216" s="12">
        <v>220</v>
      </c>
      <c r="Q2216" s="12">
        <v>6</v>
      </c>
      <c r="R2216" s="13" t="s">
        <v>100</v>
      </c>
      <c r="S2216" s="13" t="s">
        <v>7208</v>
      </c>
      <c r="T2216" s="15">
        <v>3000</v>
      </c>
      <c r="U2216" s="13" t="s">
        <v>268</v>
      </c>
      <c r="V2216" s="13" t="s">
        <v>45</v>
      </c>
      <c r="W2216" s="12">
        <v>10</v>
      </c>
      <c r="X2216" s="33" t="str">
        <f>HYPERLINK("https://www.alpinabook.ru/catalog/book-byloe-i-dumy","ссылка на книгу")</f>
        <v>ссылка на книгу</v>
      </c>
      <c r="Y2216" s="34" t="str">
        <f>HYPERLINK("https://api-enni.alpina.ru/FilePrivilegesApproval/221","https://api-enni.alpina.ru/FilePrivilegesApproval/221")</f>
        <v>https://api-enni.alpina.ru/FilePrivilegesApproval/221</v>
      </c>
      <c r="Z2216" s="13"/>
      <c r="AT2216" s="1">
        <f t="shared" si="430"/>
        <v>0</v>
      </c>
      <c r="AU2216" s="1">
        <f t="shared" si="431"/>
        <v>0</v>
      </c>
      <c r="AV2216" s="1">
        <f t="shared" si="432"/>
        <v>0</v>
      </c>
      <c r="AW2216" s="1">
        <f t="shared" si="433"/>
        <v>0</v>
      </c>
      <c r="AX2216" s="1">
        <f t="shared" si="434"/>
        <v>0</v>
      </c>
    </row>
    <row r="2217" spans="1:50" s="1" customFormat="1" ht="24.95" customHeight="1" outlineLevel="3" x14ac:dyDescent="0.2">
      <c r="A2217" s="11"/>
      <c r="B2217" s="12">
        <v>730</v>
      </c>
      <c r="C2217" s="15">
        <v>1090</v>
      </c>
      <c r="D2217" s="12">
        <v>26770</v>
      </c>
      <c r="E2217" s="13" t="s">
        <v>7221</v>
      </c>
      <c r="F2217" s="13" t="s">
        <v>7222</v>
      </c>
      <c r="G2217" s="13" t="s">
        <v>39</v>
      </c>
      <c r="H2217" s="13"/>
      <c r="I2217" s="12">
        <v>2023</v>
      </c>
      <c r="J2217" s="13" t="s">
        <v>7223</v>
      </c>
      <c r="K2217" s="12">
        <v>9785961482973</v>
      </c>
      <c r="L2217" s="13" t="s">
        <v>7224</v>
      </c>
      <c r="M2217" s="12">
        <v>188</v>
      </c>
      <c r="N2217" s="14">
        <v>0.39</v>
      </c>
      <c r="O2217" s="12">
        <v>180</v>
      </c>
      <c r="P2217" s="12">
        <v>220</v>
      </c>
      <c r="Q2217" s="12">
        <v>30</v>
      </c>
      <c r="R2217" s="13" t="s">
        <v>100</v>
      </c>
      <c r="S2217" s="13" t="s">
        <v>7208</v>
      </c>
      <c r="T2217" s="15">
        <v>4000</v>
      </c>
      <c r="U2217" s="13" t="s">
        <v>268</v>
      </c>
      <c r="V2217" s="13" t="s">
        <v>59</v>
      </c>
      <c r="W2217" s="12">
        <v>10</v>
      </c>
      <c r="X2217" s="33" t="str">
        <f>HYPERLINK("https://www.alpinabook.ru/catalog/book-geroy-nashego-vremeni","ссылка на книгу")</f>
        <v>ссылка на книгу</v>
      </c>
      <c r="Y2217" s="34" t="str">
        <f>HYPERLINK("https://api-enni.alpina.ru/FilePrivilegesApproval/172","https://api-enni.alpina.ru/FilePrivilegesApproval/172")</f>
        <v>https://api-enni.alpina.ru/FilePrivilegesApproval/172</v>
      </c>
      <c r="Z2217" s="13"/>
      <c r="AT2217" s="1">
        <f t="shared" si="430"/>
        <v>0</v>
      </c>
      <c r="AU2217" s="1">
        <f t="shared" si="431"/>
        <v>0</v>
      </c>
      <c r="AV2217" s="1">
        <f t="shared" si="432"/>
        <v>0</v>
      </c>
      <c r="AW2217" s="1">
        <f t="shared" si="433"/>
        <v>0</v>
      </c>
      <c r="AX2217" s="1">
        <f t="shared" si="434"/>
        <v>0</v>
      </c>
    </row>
    <row r="2218" spans="1:50" s="1" customFormat="1" ht="24.95" customHeight="1" outlineLevel="3" x14ac:dyDescent="0.2">
      <c r="A2218" s="11"/>
      <c r="B2218" s="12">
        <v>730</v>
      </c>
      <c r="C2218" s="15">
        <v>1090</v>
      </c>
      <c r="D2218" s="12">
        <v>27444</v>
      </c>
      <c r="E2218" s="13" t="s">
        <v>7225</v>
      </c>
      <c r="F2218" s="13" t="s">
        <v>7226</v>
      </c>
      <c r="G2218" s="13" t="s">
        <v>39</v>
      </c>
      <c r="H2218" s="13"/>
      <c r="I2218" s="12">
        <v>2023</v>
      </c>
      <c r="J2218" s="13" t="s">
        <v>7227</v>
      </c>
      <c r="K2218" s="12">
        <v>9785961485103</v>
      </c>
      <c r="L2218" s="13" t="s">
        <v>7228</v>
      </c>
      <c r="M2218" s="12">
        <v>320</v>
      </c>
      <c r="N2218" s="14">
        <v>0.56000000000000005</v>
      </c>
      <c r="O2218" s="12">
        <v>170</v>
      </c>
      <c r="P2218" s="12">
        <v>220</v>
      </c>
      <c r="Q2218" s="12">
        <v>24</v>
      </c>
      <c r="R2218" s="13" t="s">
        <v>100</v>
      </c>
      <c r="S2218" s="13" t="s">
        <v>7208</v>
      </c>
      <c r="T2218" s="15">
        <v>3000</v>
      </c>
      <c r="U2218" s="13" t="s">
        <v>268</v>
      </c>
      <c r="V2218" s="13" t="s">
        <v>59</v>
      </c>
      <c r="W2218" s="12">
        <v>10</v>
      </c>
      <c r="X2218" s="33" t="str">
        <f>HYPERLINK("https://www.alpinabook.ru/catalog/book-gospoda-golovlevy","ссылка на книгу")</f>
        <v>ссылка на книгу</v>
      </c>
      <c r="Y2218" s="34" t="str">
        <f>HYPERLINK("https://api-enni.alpina.ru/FilePrivilegesApproval/221","https://api-enni.alpina.ru/FilePrivilegesApproval/221")</f>
        <v>https://api-enni.alpina.ru/FilePrivilegesApproval/221</v>
      </c>
      <c r="Z2218" s="13"/>
      <c r="AT2218" s="1">
        <f t="shared" si="430"/>
        <v>0</v>
      </c>
      <c r="AU2218" s="1">
        <f t="shared" si="431"/>
        <v>0</v>
      </c>
      <c r="AV2218" s="1">
        <f t="shared" si="432"/>
        <v>0</v>
      </c>
      <c r="AW2218" s="1">
        <f t="shared" si="433"/>
        <v>0</v>
      </c>
      <c r="AX2218" s="1">
        <f t="shared" si="434"/>
        <v>0</v>
      </c>
    </row>
    <row r="2219" spans="1:50" s="1" customFormat="1" ht="24.95" customHeight="1" outlineLevel="3" x14ac:dyDescent="0.2">
      <c r="A2219" s="11"/>
      <c r="B2219" s="12">
        <v>790</v>
      </c>
      <c r="C2219" s="15">
        <v>1190</v>
      </c>
      <c r="D2219" s="12">
        <v>27395</v>
      </c>
      <c r="E2219" s="13" t="s">
        <v>7229</v>
      </c>
      <c r="F2219" s="13" t="s">
        <v>7230</v>
      </c>
      <c r="G2219" s="13" t="s">
        <v>39</v>
      </c>
      <c r="H2219" s="13"/>
      <c r="I2219" s="12">
        <v>2023</v>
      </c>
      <c r="J2219" s="13" t="s">
        <v>7231</v>
      </c>
      <c r="K2219" s="12">
        <v>9785961484793</v>
      </c>
      <c r="L2219" s="13" t="s">
        <v>7232</v>
      </c>
      <c r="M2219" s="12">
        <v>360</v>
      </c>
      <c r="N2219" s="14">
        <v>0.62</v>
      </c>
      <c r="O2219" s="12">
        <v>180</v>
      </c>
      <c r="P2219" s="12">
        <v>220</v>
      </c>
      <c r="Q2219" s="12">
        <v>20</v>
      </c>
      <c r="R2219" s="13" t="s">
        <v>100</v>
      </c>
      <c r="S2219" s="13" t="s">
        <v>7208</v>
      </c>
      <c r="T2219" s="15">
        <v>4000</v>
      </c>
      <c r="U2219" s="13" t="s">
        <v>268</v>
      </c>
      <c r="V2219" s="13" t="s">
        <v>59</v>
      </c>
      <c r="W2219" s="12">
        <v>10</v>
      </c>
      <c r="X2219" s="33" t="str">
        <f>HYPERLINK("https://www.alpinabook.ru/catalog/book-dvenadtsat-stulev","ссылка на книгу")</f>
        <v>ссылка на книгу</v>
      </c>
      <c r="Y2219" s="34" t="str">
        <f>HYPERLINK("https://api-enni.alpina.ru/FilePrivilegesApproval/210","https://api-enni.alpina.ru/FilePrivilegesApproval/210")</f>
        <v>https://api-enni.alpina.ru/FilePrivilegesApproval/210</v>
      </c>
      <c r="Z2219" s="13"/>
      <c r="AT2219" s="1">
        <f t="shared" si="430"/>
        <v>0</v>
      </c>
      <c r="AU2219" s="1">
        <f t="shared" si="431"/>
        <v>0</v>
      </c>
      <c r="AV2219" s="1">
        <f t="shared" si="432"/>
        <v>0</v>
      </c>
      <c r="AW2219" s="1">
        <f t="shared" si="433"/>
        <v>0</v>
      </c>
      <c r="AX2219" s="1">
        <f t="shared" si="434"/>
        <v>0</v>
      </c>
    </row>
    <row r="2220" spans="1:50" s="1" customFormat="1" ht="24.95" customHeight="1" outlineLevel="3" x14ac:dyDescent="0.2">
      <c r="A2220" s="11"/>
      <c r="B2220" s="12">
        <v>730</v>
      </c>
      <c r="C2220" s="15">
        <v>1090</v>
      </c>
      <c r="D2220" s="12">
        <v>26964</v>
      </c>
      <c r="E2220" s="13" t="s">
        <v>7233</v>
      </c>
      <c r="F2220" s="13" t="s">
        <v>7234</v>
      </c>
      <c r="G2220" s="13" t="s">
        <v>39</v>
      </c>
      <c r="H2220" s="13"/>
      <c r="I2220" s="12">
        <v>2023</v>
      </c>
      <c r="J2220" s="13" t="s">
        <v>7235</v>
      </c>
      <c r="K2220" s="12">
        <v>9785961483543</v>
      </c>
      <c r="L2220" s="13" t="s">
        <v>7236</v>
      </c>
      <c r="M2220" s="12">
        <v>184</v>
      </c>
      <c r="N2220" s="14">
        <v>0.38</v>
      </c>
      <c r="O2220" s="12">
        <v>180</v>
      </c>
      <c r="P2220" s="12">
        <v>220</v>
      </c>
      <c r="Q2220" s="12">
        <v>30</v>
      </c>
      <c r="R2220" s="13" t="s">
        <v>100</v>
      </c>
      <c r="S2220" s="13" t="s">
        <v>7208</v>
      </c>
      <c r="T2220" s="15">
        <v>3000</v>
      </c>
      <c r="U2220" s="13" t="s">
        <v>268</v>
      </c>
      <c r="V2220" s="13" t="s">
        <v>59</v>
      </c>
      <c r="W2220" s="12">
        <v>10</v>
      </c>
      <c r="X2220" s="33" t="str">
        <f>HYPERLINK("https://www.alpinabook.ru/catalog/book-dvoryanskoe-gnezdo","ссылка на книгу")</f>
        <v>ссылка на книгу</v>
      </c>
      <c r="Y2220" s="34" t="str">
        <f>HYPERLINK("https://api-enni.alpina.ru/FilePrivilegesApproval/177","https://api-enni.alpina.ru/FilePrivilegesApproval/177")</f>
        <v>https://api-enni.alpina.ru/FilePrivilegesApproval/177</v>
      </c>
      <c r="Z2220" s="13"/>
      <c r="AT2220" s="1">
        <f t="shared" si="430"/>
        <v>0</v>
      </c>
      <c r="AU2220" s="1">
        <f t="shared" si="431"/>
        <v>0</v>
      </c>
      <c r="AV2220" s="1">
        <f t="shared" si="432"/>
        <v>0</v>
      </c>
      <c r="AW2220" s="1">
        <f t="shared" si="433"/>
        <v>0</v>
      </c>
      <c r="AX2220" s="1">
        <f t="shared" si="434"/>
        <v>0</v>
      </c>
    </row>
    <row r="2221" spans="1:50" s="1" customFormat="1" ht="24.95" customHeight="1" outlineLevel="3" x14ac:dyDescent="0.2">
      <c r="A2221" s="11"/>
      <c r="B2221" s="12">
        <v>790</v>
      </c>
      <c r="C2221" s="15">
        <v>1190</v>
      </c>
      <c r="D2221" s="12">
        <v>27023</v>
      </c>
      <c r="E2221" s="13" t="s">
        <v>7237</v>
      </c>
      <c r="F2221" s="13" t="s">
        <v>7238</v>
      </c>
      <c r="G2221" s="13" t="s">
        <v>39</v>
      </c>
      <c r="H2221" s="13"/>
      <c r="I2221" s="12">
        <v>2023</v>
      </c>
      <c r="J2221" s="13" t="s">
        <v>7239</v>
      </c>
      <c r="K2221" s="12">
        <v>9785961483765</v>
      </c>
      <c r="L2221" s="13" t="s">
        <v>7240</v>
      </c>
      <c r="M2221" s="12">
        <v>368</v>
      </c>
      <c r="N2221" s="14">
        <v>0.63</v>
      </c>
      <c r="O2221" s="12">
        <v>180</v>
      </c>
      <c r="P2221" s="12">
        <v>220</v>
      </c>
      <c r="Q2221" s="12">
        <v>20</v>
      </c>
      <c r="R2221" s="13" t="s">
        <v>100</v>
      </c>
      <c r="S2221" s="13" t="s">
        <v>7208</v>
      </c>
      <c r="T2221" s="15">
        <v>3000</v>
      </c>
      <c r="U2221" s="13" t="s">
        <v>268</v>
      </c>
      <c r="V2221" s="13" t="s">
        <v>59</v>
      </c>
      <c r="W2221" s="12">
        <v>10</v>
      </c>
      <c r="X2221" s="33" t="str">
        <f>HYPERLINK("https://www.alpinabook.ru/catalog/book-detstvo-otrochestvo-yunost","ссылка на книгу")</f>
        <v>ссылка на книгу</v>
      </c>
      <c r="Y2221" s="34" t="str">
        <f>HYPERLINK("https://api-enni.alpina.ru/FilePrivilegesApproval/184","https://api-enni.alpina.ru/FilePrivilegesApproval/184")</f>
        <v>https://api-enni.alpina.ru/FilePrivilegesApproval/184</v>
      </c>
      <c r="Z2221" s="13"/>
      <c r="AT2221" s="1">
        <f t="shared" si="430"/>
        <v>0</v>
      </c>
      <c r="AU2221" s="1">
        <f t="shared" si="431"/>
        <v>0</v>
      </c>
      <c r="AV2221" s="1">
        <f t="shared" si="432"/>
        <v>0</v>
      </c>
      <c r="AW2221" s="1">
        <f t="shared" si="433"/>
        <v>0</v>
      </c>
      <c r="AX2221" s="1">
        <f t="shared" si="434"/>
        <v>0</v>
      </c>
    </row>
    <row r="2222" spans="1:50" s="1" customFormat="1" ht="24.95" customHeight="1" outlineLevel="3" x14ac:dyDescent="0.2">
      <c r="A2222" s="11"/>
      <c r="B2222" s="12">
        <v>790</v>
      </c>
      <c r="C2222" s="15">
        <v>1190</v>
      </c>
      <c r="D2222" s="12">
        <v>27721</v>
      </c>
      <c r="E2222" s="13" t="s">
        <v>7213</v>
      </c>
      <c r="F2222" s="13" t="s">
        <v>7241</v>
      </c>
      <c r="G2222" s="13" t="s">
        <v>39</v>
      </c>
      <c r="H2222" s="13"/>
      <c r="I2222" s="12">
        <v>2024</v>
      </c>
      <c r="J2222" s="13" t="s">
        <v>7242</v>
      </c>
      <c r="K2222" s="12">
        <v>9785961486100</v>
      </c>
      <c r="L2222" s="13" t="s">
        <v>7243</v>
      </c>
      <c r="M2222" s="12">
        <v>376</v>
      </c>
      <c r="N2222" s="14">
        <v>0.64</v>
      </c>
      <c r="O2222" s="12">
        <v>170</v>
      </c>
      <c r="P2222" s="12">
        <v>220</v>
      </c>
      <c r="Q2222" s="12">
        <v>20</v>
      </c>
      <c r="R2222" s="13" t="s">
        <v>100</v>
      </c>
      <c r="S2222" s="13" t="s">
        <v>7208</v>
      </c>
      <c r="T2222" s="15">
        <v>4000</v>
      </c>
      <c r="U2222" s="13" t="s">
        <v>268</v>
      </c>
      <c r="V2222" s="13" t="s">
        <v>59</v>
      </c>
      <c r="W2222" s="12">
        <v>10</v>
      </c>
      <c r="X2222" s="33" t="str">
        <f>HYPERLINK("https://www.alpinabook.ru/catalog/book-evgeniy-onegin-povesti-belkina-pikovaya-dama","ссылка на книгу")</f>
        <v>ссылка на книгу</v>
      </c>
      <c r="Y2222" s="34" t="str">
        <f>HYPERLINK("https://api-enni.alpina.ru/FilePrivilegesApproval/210","https://api-enni.alpina.ru/FilePrivilegesApproval/210")</f>
        <v>https://api-enni.alpina.ru/FilePrivilegesApproval/210</v>
      </c>
      <c r="Z2222" s="13"/>
      <c r="AT2222" s="1">
        <f t="shared" si="430"/>
        <v>0</v>
      </c>
      <c r="AU2222" s="1">
        <f t="shared" si="431"/>
        <v>0</v>
      </c>
      <c r="AV2222" s="1">
        <f t="shared" si="432"/>
        <v>0</v>
      </c>
      <c r="AW2222" s="1">
        <f t="shared" si="433"/>
        <v>0</v>
      </c>
      <c r="AX2222" s="1">
        <f t="shared" si="434"/>
        <v>0</v>
      </c>
    </row>
    <row r="2223" spans="1:50" s="1" customFormat="1" ht="24.95" customHeight="1" outlineLevel="3" x14ac:dyDescent="0.2">
      <c r="A2223" s="11"/>
      <c r="B2223" s="12">
        <v>640</v>
      </c>
      <c r="C2223" s="12">
        <v>940</v>
      </c>
      <c r="D2223" s="12">
        <v>30724</v>
      </c>
      <c r="E2223" s="13" t="s">
        <v>7244</v>
      </c>
      <c r="F2223" s="13" t="s">
        <v>7245</v>
      </c>
      <c r="G2223" s="13" t="s">
        <v>39</v>
      </c>
      <c r="H2223" s="13"/>
      <c r="I2223" s="12">
        <v>2024</v>
      </c>
      <c r="J2223" s="13" t="s">
        <v>7246</v>
      </c>
      <c r="K2223" s="12">
        <v>9785002232819</v>
      </c>
      <c r="L2223" s="13" t="s">
        <v>7247</v>
      </c>
      <c r="M2223" s="12">
        <v>428</v>
      </c>
      <c r="N2223" s="14">
        <v>0.5</v>
      </c>
      <c r="O2223" s="12">
        <v>150</v>
      </c>
      <c r="P2223" s="12">
        <v>220</v>
      </c>
      <c r="Q2223" s="12">
        <v>12</v>
      </c>
      <c r="R2223" s="13" t="s">
        <v>43</v>
      </c>
      <c r="S2223" s="13"/>
      <c r="T2223" s="15">
        <v>2500</v>
      </c>
      <c r="U2223" s="13" t="s">
        <v>52</v>
      </c>
      <c r="V2223" s="13" t="s">
        <v>45</v>
      </c>
      <c r="W2223" s="12">
        <v>10</v>
      </c>
      <c r="X2223" s="33" t="str">
        <f>HYPERLINK("https://www.alpinabook.ru/catalog/book-zabytaya-teffi","ссылка на книгу")</f>
        <v>ссылка на книгу</v>
      </c>
      <c r="Y2223" s="34" t="str">
        <f>HYPERLINK("https://api-enni.alpina.ru/FilePrivilegesApproval/431","https://api-enni.alpina.ru/FilePrivilegesApproval/431")</f>
        <v>https://api-enni.alpina.ru/FilePrivilegesApproval/431</v>
      </c>
      <c r="Z2223" s="13"/>
      <c r="AT2223" s="1">
        <f t="shared" si="430"/>
        <v>0</v>
      </c>
      <c r="AU2223" s="1">
        <f t="shared" si="431"/>
        <v>0</v>
      </c>
      <c r="AV2223" s="1">
        <f t="shared" si="432"/>
        <v>0</v>
      </c>
      <c r="AW2223" s="1">
        <f t="shared" si="433"/>
        <v>0</v>
      </c>
      <c r="AX2223" s="1">
        <f t="shared" si="434"/>
        <v>0</v>
      </c>
    </row>
    <row r="2224" spans="1:50" s="1" customFormat="1" ht="24.95" customHeight="1" outlineLevel="3" x14ac:dyDescent="0.2">
      <c r="A2224" s="11"/>
      <c r="B2224" s="12">
        <v>790</v>
      </c>
      <c r="C2224" s="15">
        <v>1190</v>
      </c>
      <c r="D2224" s="12">
        <v>27887</v>
      </c>
      <c r="E2224" s="13" t="s">
        <v>7229</v>
      </c>
      <c r="F2224" s="13" t="s">
        <v>7248</v>
      </c>
      <c r="G2224" s="13" t="s">
        <v>39</v>
      </c>
      <c r="H2224" s="13"/>
      <c r="I2224" s="12">
        <v>2023</v>
      </c>
      <c r="J2224" s="13" t="s">
        <v>7249</v>
      </c>
      <c r="K2224" s="12">
        <v>9785961486667</v>
      </c>
      <c r="L2224" s="13" t="s">
        <v>7250</v>
      </c>
      <c r="M2224" s="12">
        <v>384</v>
      </c>
      <c r="N2224" s="14">
        <v>0.65</v>
      </c>
      <c r="O2224" s="12">
        <v>170</v>
      </c>
      <c r="P2224" s="12">
        <v>220</v>
      </c>
      <c r="Q2224" s="12">
        <v>20</v>
      </c>
      <c r="R2224" s="13" t="s">
        <v>100</v>
      </c>
      <c r="S2224" s="13" t="s">
        <v>7208</v>
      </c>
      <c r="T2224" s="15">
        <v>4000</v>
      </c>
      <c r="U2224" s="13" t="s">
        <v>268</v>
      </c>
      <c r="V2224" s="13" t="s">
        <v>59</v>
      </c>
      <c r="W2224" s="12">
        <v>10</v>
      </c>
      <c r="X2224" s="33" t="str">
        <f>HYPERLINK("https://www.alpinabook.ru/catalog/book-zolotoy-telenok","ссылка на книгу")</f>
        <v>ссылка на книгу</v>
      </c>
      <c r="Y2224" s="34" t="str">
        <f>HYPERLINK("https://api-enni.alpina.ru/FilePrivilegesApproval/221","https://api-enni.alpina.ru/FilePrivilegesApproval/221")</f>
        <v>https://api-enni.alpina.ru/FilePrivilegesApproval/221</v>
      </c>
      <c r="Z2224" s="13"/>
      <c r="AT2224" s="1">
        <f t="shared" si="430"/>
        <v>0</v>
      </c>
      <c r="AU2224" s="1">
        <f t="shared" si="431"/>
        <v>0</v>
      </c>
      <c r="AV2224" s="1">
        <f t="shared" si="432"/>
        <v>0</v>
      </c>
      <c r="AW2224" s="1">
        <f t="shared" si="433"/>
        <v>0</v>
      </c>
      <c r="AX2224" s="1">
        <f t="shared" si="434"/>
        <v>0</v>
      </c>
    </row>
    <row r="2225" spans="1:50" s="1" customFormat="1" ht="24.95" customHeight="1" outlineLevel="3" x14ac:dyDescent="0.2">
      <c r="A2225" s="11"/>
      <c r="B2225" s="12">
        <v>890</v>
      </c>
      <c r="C2225" s="15">
        <v>1290</v>
      </c>
      <c r="D2225" s="12">
        <v>27478</v>
      </c>
      <c r="E2225" s="13" t="s">
        <v>7209</v>
      </c>
      <c r="F2225" s="13" t="s">
        <v>7251</v>
      </c>
      <c r="G2225" s="13" t="s">
        <v>39</v>
      </c>
      <c r="H2225" s="13"/>
      <c r="I2225" s="12">
        <v>2023</v>
      </c>
      <c r="J2225" s="13" t="s">
        <v>7252</v>
      </c>
      <c r="K2225" s="12">
        <v>9785961485271</v>
      </c>
      <c r="L2225" s="13" t="s">
        <v>7253</v>
      </c>
      <c r="M2225" s="12">
        <v>554</v>
      </c>
      <c r="N2225" s="14">
        <v>0.87</v>
      </c>
      <c r="O2225" s="12">
        <v>170</v>
      </c>
      <c r="P2225" s="12">
        <v>220</v>
      </c>
      <c r="Q2225" s="12">
        <v>14</v>
      </c>
      <c r="R2225" s="13" t="s">
        <v>100</v>
      </c>
      <c r="S2225" s="13" t="s">
        <v>7208</v>
      </c>
      <c r="T2225" s="15">
        <v>4000</v>
      </c>
      <c r="U2225" s="13" t="s">
        <v>268</v>
      </c>
      <c r="V2225" s="13" t="s">
        <v>59</v>
      </c>
      <c r="W2225" s="12">
        <v>10</v>
      </c>
      <c r="X2225" s="33" t="str">
        <f>HYPERLINK("https://www.alpinabook.ru/catalog/book-idiot","ссылка на книгу")</f>
        <v>ссылка на книгу</v>
      </c>
      <c r="Y2225" s="34" t="str">
        <f>HYPERLINK("https://api-enni.alpina.ru/FilePrivilegesApproval/221","https://api-enni.alpina.ru/FilePrivilegesApproval/221")</f>
        <v>https://api-enni.alpina.ru/FilePrivilegesApproval/221</v>
      </c>
      <c r="Z2225" s="13"/>
      <c r="AT2225" s="1">
        <f t="shared" si="430"/>
        <v>0</v>
      </c>
      <c r="AU2225" s="1">
        <f t="shared" si="431"/>
        <v>0</v>
      </c>
      <c r="AV2225" s="1">
        <f t="shared" si="432"/>
        <v>0</v>
      </c>
      <c r="AW2225" s="1">
        <f t="shared" si="433"/>
        <v>0</v>
      </c>
      <c r="AX2225" s="1">
        <f t="shared" si="434"/>
        <v>0</v>
      </c>
    </row>
    <row r="2226" spans="1:50" s="1" customFormat="1" ht="24.95" customHeight="1" outlineLevel="3" x14ac:dyDescent="0.2">
      <c r="A2226" s="11"/>
      <c r="B2226" s="12">
        <v>730</v>
      </c>
      <c r="C2226" s="15">
        <v>1090</v>
      </c>
      <c r="D2226" s="12">
        <v>27443</v>
      </c>
      <c r="E2226" s="13" t="s">
        <v>7225</v>
      </c>
      <c r="F2226" s="13" t="s">
        <v>7254</v>
      </c>
      <c r="G2226" s="13" t="s">
        <v>39</v>
      </c>
      <c r="H2226" s="13"/>
      <c r="I2226" s="12">
        <v>2023</v>
      </c>
      <c r="J2226" s="13" t="s">
        <v>7255</v>
      </c>
      <c r="K2226" s="12">
        <v>9785961485097</v>
      </c>
      <c r="L2226" s="13" t="s">
        <v>7256</v>
      </c>
      <c r="M2226" s="12">
        <v>232</v>
      </c>
      <c r="N2226" s="14">
        <v>0.44</v>
      </c>
      <c r="O2226" s="12">
        <v>170</v>
      </c>
      <c r="P2226" s="12">
        <v>220</v>
      </c>
      <c r="Q2226" s="12">
        <v>30</v>
      </c>
      <c r="R2226" s="13" t="s">
        <v>100</v>
      </c>
      <c r="S2226" s="13" t="s">
        <v>7208</v>
      </c>
      <c r="T2226" s="15">
        <v>3000</v>
      </c>
      <c r="U2226" s="13" t="s">
        <v>268</v>
      </c>
      <c r="V2226" s="13" t="s">
        <v>59</v>
      </c>
      <c r="W2226" s="12">
        <v>10</v>
      </c>
      <c r="X2226" s="33" t="str">
        <f>HYPERLINK("https://www.alpinabook.ru/catalog/book-istoriya-odnogo-goroda","ссылка на книгу")</f>
        <v>ссылка на книгу</v>
      </c>
      <c r="Y2226" s="34" t="str">
        <f>HYPERLINK("https://api-enni.alpina.ru/FilePrivilegesApproval/221","https://api-enni.alpina.ru/FilePrivilegesApproval/221")</f>
        <v>https://api-enni.alpina.ru/FilePrivilegesApproval/221</v>
      </c>
      <c r="Z2226" s="13"/>
      <c r="AT2226" s="1">
        <f t="shared" si="430"/>
        <v>0</v>
      </c>
      <c r="AU2226" s="1">
        <f t="shared" si="431"/>
        <v>0</v>
      </c>
      <c r="AV2226" s="1">
        <f t="shared" si="432"/>
        <v>0</v>
      </c>
      <c r="AW2226" s="1">
        <f t="shared" si="433"/>
        <v>0</v>
      </c>
      <c r="AX2226" s="1">
        <f t="shared" si="434"/>
        <v>0</v>
      </c>
    </row>
    <row r="2227" spans="1:50" s="1" customFormat="1" ht="24.95" customHeight="1" outlineLevel="3" x14ac:dyDescent="0.2">
      <c r="A2227" s="11"/>
      <c r="B2227" s="12">
        <v>730</v>
      </c>
      <c r="C2227" s="15">
        <v>1090</v>
      </c>
      <c r="D2227" s="12">
        <v>27455</v>
      </c>
      <c r="E2227" s="13" t="s">
        <v>7257</v>
      </c>
      <c r="F2227" s="13" t="s">
        <v>7258</v>
      </c>
      <c r="G2227" s="13" t="s">
        <v>39</v>
      </c>
      <c r="H2227" s="13"/>
      <c r="I2227" s="12">
        <v>2024</v>
      </c>
      <c r="J2227" s="13" t="s">
        <v>7259</v>
      </c>
      <c r="K2227" s="12">
        <v>9785961485202</v>
      </c>
      <c r="L2227" s="13" t="s">
        <v>7260</v>
      </c>
      <c r="M2227" s="12">
        <v>302</v>
      </c>
      <c r="N2227" s="14">
        <v>0.54</v>
      </c>
      <c r="O2227" s="12">
        <v>170</v>
      </c>
      <c r="P2227" s="12">
        <v>220</v>
      </c>
      <c r="Q2227" s="12">
        <v>24</v>
      </c>
      <c r="R2227" s="13" t="s">
        <v>100</v>
      </c>
      <c r="S2227" s="13" t="s">
        <v>7208</v>
      </c>
      <c r="T2227" s="15">
        <v>3000</v>
      </c>
      <c r="U2227" s="13" t="s">
        <v>268</v>
      </c>
      <c r="V2227" s="13" t="s">
        <v>59</v>
      </c>
      <c r="W2227" s="12">
        <v>10</v>
      </c>
      <c r="X2227" s="33" t="str">
        <f>HYPERLINK("https://www.alpinabook.ru/catalog/book-melkiy-bes","ссылка на книгу")</f>
        <v>ссылка на книгу</v>
      </c>
      <c r="Y2227" s="34" t="str">
        <f>HYPERLINK("https://api-enni.alpina.ru/FilePrivilegesApproval/210","https://api-enni.alpina.ru/FilePrivilegesApproval/210")</f>
        <v>https://api-enni.alpina.ru/FilePrivilegesApproval/210</v>
      </c>
      <c r="Z2227" s="13"/>
      <c r="AT2227" s="1">
        <f t="shared" si="430"/>
        <v>0</v>
      </c>
      <c r="AU2227" s="1">
        <f t="shared" si="431"/>
        <v>0</v>
      </c>
      <c r="AV2227" s="1">
        <f t="shared" si="432"/>
        <v>0</v>
      </c>
      <c r="AW2227" s="1">
        <f t="shared" si="433"/>
        <v>0</v>
      </c>
      <c r="AX2227" s="1">
        <f t="shared" si="434"/>
        <v>0</v>
      </c>
    </row>
    <row r="2228" spans="1:50" s="1" customFormat="1" ht="24.95" customHeight="1" outlineLevel="3" x14ac:dyDescent="0.2">
      <c r="A2228" s="11"/>
      <c r="B2228" s="12">
        <v>790</v>
      </c>
      <c r="C2228" s="15">
        <v>1190</v>
      </c>
      <c r="D2228" s="12">
        <v>26776</v>
      </c>
      <c r="E2228" s="13" t="s">
        <v>7261</v>
      </c>
      <c r="F2228" s="13" t="s">
        <v>7262</v>
      </c>
      <c r="G2228" s="13" t="s">
        <v>39</v>
      </c>
      <c r="H2228" s="13"/>
      <c r="I2228" s="12">
        <v>2023</v>
      </c>
      <c r="J2228" s="13" t="s">
        <v>7263</v>
      </c>
      <c r="K2228" s="12">
        <v>9785961483017</v>
      </c>
      <c r="L2228" s="13" t="s">
        <v>7264</v>
      </c>
      <c r="M2228" s="12">
        <v>420</v>
      </c>
      <c r="N2228" s="14">
        <v>0.7</v>
      </c>
      <c r="O2228" s="12">
        <v>180</v>
      </c>
      <c r="P2228" s="12">
        <v>220</v>
      </c>
      <c r="Q2228" s="12">
        <v>16</v>
      </c>
      <c r="R2228" s="13" t="s">
        <v>100</v>
      </c>
      <c r="S2228" s="13" t="s">
        <v>7208</v>
      </c>
      <c r="T2228" s="15">
        <v>3000</v>
      </c>
      <c r="U2228" s="13" t="s">
        <v>268</v>
      </c>
      <c r="V2228" s="13" t="s">
        <v>59</v>
      </c>
      <c r="W2228" s="12">
        <v>10</v>
      </c>
      <c r="X2228" s="33" t="str">
        <f>HYPERLINK("https://www.alpinabook.ru/catalog/book-mertvye-dushi","ссылка на книгу")</f>
        <v>ссылка на книгу</v>
      </c>
      <c r="Y2228" s="34" t="str">
        <f>HYPERLINK("https://api-enni.alpina.ru/FilePrivilegesApproval/177","https://api-enni.alpina.ru/FilePrivilegesApproval/177")</f>
        <v>https://api-enni.alpina.ru/FilePrivilegesApproval/177</v>
      </c>
      <c r="Z2228" s="13"/>
      <c r="AT2228" s="1">
        <f t="shared" si="430"/>
        <v>0</v>
      </c>
      <c r="AU2228" s="1">
        <f t="shared" si="431"/>
        <v>0</v>
      </c>
      <c r="AV2228" s="1">
        <f t="shared" si="432"/>
        <v>0</v>
      </c>
      <c r="AW2228" s="1">
        <f t="shared" si="433"/>
        <v>0</v>
      </c>
      <c r="AX2228" s="1">
        <f t="shared" si="434"/>
        <v>0</v>
      </c>
    </row>
    <row r="2229" spans="1:50" s="1" customFormat="1" ht="24.95" customHeight="1" outlineLevel="3" x14ac:dyDescent="0.2">
      <c r="A2229" s="11"/>
      <c r="B2229" s="12">
        <v>730</v>
      </c>
      <c r="C2229" s="15">
        <v>1090</v>
      </c>
      <c r="D2229" s="12">
        <v>26771</v>
      </c>
      <c r="E2229" s="13" t="s">
        <v>7265</v>
      </c>
      <c r="F2229" s="13" t="s">
        <v>7266</v>
      </c>
      <c r="G2229" s="13" t="s">
        <v>39</v>
      </c>
      <c r="H2229" s="13"/>
      <c r="I2229" s="12">
        <v>2023</v>
      </c>
      <c r="J2229" s="13" t="s">
        <v>7267</v>
      </c>
      <c r="K2229" s="12">
        <v>9785961482980</v>
      </c>
      <c r="L2229" s="13" t="s">
        <v>7268</v>
      </c>
      <c r="M2229" s="12">
        <v>216</v>
      </c>
      <c r="N2229" s="14">
        <v>0.43</v>
      </c>
      <c r="O2229" s="12">
        <v>180</v>
      </c>
      <c r="P2229" s="12">
        <v>220</v>
      </c>
      <c r="Q2229" s="12">
        <v>24</v>
      </c>
      <c r="R2229" s="13" t="s">
        <v>100</v>
      </c>
      <c r="S2229" s="13" t="s">
        <v>7208</v>
      </c>
      <c r="T2229" s="15">
        <v>3000</v>
      </c>
      <c r="U2229" s="13" t="s">
        <v>268</v>
      </c>
      <c r="V2229" s="13" t="s">
        <v>45</v>
      </c>
      <c r="W2229" s="12">
        <v>10</v>
      </c>
      <c r="X2229" s="33" t="str">
        <f>HYPERLINK("https://www.alpinabook.ru/catalog/book-my","ссылка на книгу")</f>
        <v>ссылка на книгу</v>
      </c>
      <c r="Y2229" s="34" t="str">
        <f>HYPERLINK("https://api-enni.alpina.ru/FilePrivilegesApproval/177","https://api-enni.alpina.ru/FilePrivilegesApproval/177")</f>
        <v>https://api-enni.alpina.ru/FilePrivilegesApproval/177</v>
      </c>
      <c r="Z2229" s="13"/>
      <c r="AT2229" s="1">
        <f t="shared" si="430"/>
        <v>0</v>
      </c>
      <c r="AU2229" s="1">
        <f t="shared" si="431"/>
        <v>0</v>
      </c>
      <c r="AV2229" s="1">
        <f t="shared" si="432"/>
        <v>0</v>
      </c>
      <c r="AW2229" s="1">
        <f t="shared" si="433"/>
        <v>0</v>
      </c>
      <c r="AX2229" s="1">
        <f t="shared" si="434"/>
        <v>0</v>
      </c>
    </row>
    <row r="2230" spans="1:50" s="1" customFormat="1" ht="21.95" customHeight="1" outlineLevel="3" x14ac:dyDescent="0.2">
      <c r="A2230" s="11"/>
      <c r="B2230" s="12">
        <v>790</v>
      </c>
      <c r="C2230" s="15">
        <v>1190</v>
      </c>
      <c r="D2230" s="12">
        <v>30672</v>
      </c>
      <c r="E2230" s="13" t="s">
        <v>7269</v>
      </c>
      <c r="F2230" s="13" t="s">
        <v>7270</v>
      </c>
      <c r="G2230" s="13" t="s">
        <v>39</v>
      </c>
      <c r="H2230" s="13"/>
      <c r="I2230" s="12">
        <v>2024</v>
      </c>
      <c r="J2230" s="13" t="s">
        <v>7271</v>
      </c>
      <c r="K2230" s="12">
        <v>9785002232734</v>
      </c>
      <c r="L2230" s="13" t="s">
        <v>7272</v>
      </c>
      <c r="M2230" s="12">
        <v>476</v>
      </c>
      <c r="N2230" s="14">
        <v>0.54</v>
      </c>
      <c r="O2230" s="12">
        <v>150</v>
      </c>
      <c r="P2230" s="12">
        <v>220</v>
      </c>
      <c r="Q2230" s="12">
        <v>10</v>
      </c>
      <c r="R2230" s="13" t="s">
        <v>43</v>
      </c>
      <c r="S2230" s="13"/>
      <c r="T2230" s="15">
        <v>2000</v>
      </c>
      <c r="U2230" s="13" t="s">
        <v>52</v>
      </c>
      <c r="V2230" s="13" t="s">
        <v>89</v>
      </c>
      <c r="W2230" s="12">
        <v>20</v>
      </c>
      <c r="X2230" s="33" t="str">
        <f>HYPERLINK("https://www.alpinabook.ru/catalog/book-nochnye-dorogi","ссылка на книгу")</f>
        <v>ссылка на книгу</v>
      </c>
      <c r="Y2230" s="34" t="str">
        <f>HYPERLINK("","")</f>
        <v/>
      </c>
      <c r="Z2230" s="13"/>
      <c r="AT2230" s="1">
        <f t="shared" si="430"/>
        <v>0</v>
      </c>
      <c r="AU2230" s="1">
        <f t="shared" si="431"/>
        <v>0</v>
      </c>
      <c r="AV2230" s="1">
        <f t="shared" si="432"/>
        <v>0</v>
      </c>
      <c r="AW2230" s="1">
        <f t="shared" si="433"/>
        <v>0</v>
      </c>
      <c r="AX2230" s="1">
        <f t="shared" si="434"/>
        <v>0</v>
      </c>
    </row>
    <row r="2231" spans="1:50" s="1" customFormat="1" ht="24.95" customHeight="1" outlineLevel="3" x14ac:dyDescent="0.2">
      <c r="A2231" s="11"/>
      <c r="B2231" s="12">
        <v>790</v>
      </c>
      <c r="C2231" s="15">
        <v>1190</v>
      </c>
      <c r="D2231" s="12">
        <v>26777</v>
      </c>
      <c r="E2231" s="13" t="s">
        <v>7273</v>
      </c>
      <c r="F2231" s="13" t="s">
        <v>7274</v>
      </c>
      <c r="G2231" s="13" t="s">
        <v>39</v>
      </c>
      <c r="H2231" s="13"/>
      <c r="I2231" s="12">
        <v>2023</v>
      </c>
      <c r="J2231" s="13" t="s">
        <v>7275</v>
      </c>
      <c r="K2231" s="12">
        <v>9785961483024</v>
      </c>
      <c r="L2231" s="13" t="s">
        <v>7276</v>
      </c>
      <c r="M2231" s="12">
        <v>544</v>
      </c>
      <c r="N2231" s="14">
        <v>0.87</v>
      </c>
      <c r="O2231" s="12">
        <v>180</v>
      </c>
      <c r="P2231" s="12">
        <v>220</v>
      </c>
      <c r="Q2231" s="12">
        <v>14</v>
      </c>
      <c r="R2231" s="13" t="s">
        <v>100</v>
      </c>
      <c r="S2231" s="13" t="s">
        <v>7208</v>
      </c>
      <c r="T2231" s="15">
        <v>3000</v>
      </c>
      <c r="U2231" s="13" t="s">
        <v>268</v>
      </c>
      <c r="V2231" s="13" t="s">
        <v>59</v>
      </c>
      <c r="W2231" s="12">
        <v>10</v>
      </c>
      <c r="X2231" s="33" t="str">
        <f>HYPERLINK("https://www.alpinabook.ru/catalog/book-oblomov","ссылка на книгу")</f>
        <v>ссылка на книгу</v>
      </c>
      <c r="Y2231" s="34" t="str">
        <f>HYPERLINK("https://api-enni.alpina.ru/FilePrivilegesApproval/177","https://api-enni.alpina.ru/FilePrivilegesApproval/177")</f>
        <v>https://api-enni.alpina.ru/FilePrivilegesApproval/177</v>
      </c>
      <c r="Z2231" s="13"/>
      <c r="AT2231" s="1">
        <f t="shared" si="430"/>
        <v>0</v>
      </c>
      <c r="AU2231" s="1">
        <f t="shared" si="431"/>
        <v>0</v>
      </c>
      <c r="AV2231" s="1">
        <f t="shared" si="432"/>
        <v>0</v>
      </c>
      <c r="AW2231" s="1">
        <f t="shared" si="433"/>
        <v>0</v>
      </c>
      <c r="AX2231" s="1">
        <f t="shared" si="434"/>
        <v>0</v>
      </c>
    </row>
    <row r="2232" spans="1:50" s="1" customFormat="1" ht="24.95" customHeight="1" outlineLevel="3" x14ac:dyDescent="0.2">
      <c r="A2232" s="11"/>
      <c r="B2232" s="12">
        <v>790</v>
      </c>
      <c r="C2232" s="15">
        <v>1190</v>
      </c>
      <c r="D2232" s="12">
        <v>27445</v>
      </c>
      <c r="E2232" s="13" t="s">
        <v>7277</v>
      </c>
      <c r="F2232" s="13" t="s">
        <v>7278</v>
      </c>
      <c r="G2232" s="13" t="s">
        <v>39</v>
      </c>
      <c r="H2232" s="13"/>
      <c r="I2232" s="12">
        <v>2024</v>
      </c>
      <c r="J2232" s="13" t="s">
        <v>7279</v>
      </c>
      <c r="K2232" s="12">
        <v>9785961485110</v>
      </c>
      <c r="L2232" s="13" t="s">
        <v>7280</v>
      </c>
      <c r="M2232" s="12">
        <v>448</v>
      </c>
      <c r="N2232" s="14">
        <v>0.73</v>
      </c>
      <c r="O2232" s="12">
        <v>170</v>
      </c>
      <c r="P2232" s="12">
        <v>220</v>
      </c>
      <c r="Q2232" s="12">
        <v>16</v>
      </c>
      <c r="R2232" s="13" t="s">
        <v>100</v>
      </c>
      <c r="S2232" s="13" t="s">
        <v>7208</v>
      </c>
      <c r="T2232" s="15">
        <v>3000</v>
      </c>
      <c r="U2232" s="13" t="s">
        <v>268</v>
      </c>
      <c r="V2232" s="13" t="s">
        <v>45</v>
      </c>
      <c r="W2232" s="12">
        <v>10</v>
      </c>
      <c r="X2232" s="33" t="str">
        <f>HYPERLINK("https://www.alpinabook.ru/catalog/book-opavshie-listya","ссылка на книгу")</f>
        <v>ссылка на книгу</v>
      </c>
      <c r="Y2232" s="34" t="str">
        <f>HYPERLINK("https://api-enni.alpina.ru/FilePrivilegesApproval/221","https://api-enni.alpina.ru/FilePrivilegesApproval/221")</f>
        <v>https://api-enni.alpina.ru/FilePrivilegesApproval/221</v>
      </c>
      <c r="Z2232" s="13"/>
      <c r="AT2232" s="1">
        <f t="shared" si="430"/>
        <v>0</v>
      </c>
      <c r="AU2232" s="1">
        <f t="shared" si="431"/>
        <v>0</v>
      </c>
      <c r="AV2232" s="1">
        <f t="shared" si="432"/>
        <v>0</v>
      </c>
      <c r="AW2232" s="1">
        <f t="shared" si="433"/>
        <v>0</v>
      </c>
      <c r="AX2232" s="1">
        <f t="shared" si="434"/>
        <v>0</v>
      </c>
    </row>
    <row r="2233" spans="1:50" s="1" customFormat="1" ht="24.95" customHeight="1" outlineLevel="3" x14ac:dyDescent="0.2">
      <c r="A2233" s="11"/>
      <c r="B2233" s="12">
        <v>790</v>
      </c>
      <c r="C2233" s="15">
        <v>1190</v>
      </c>
      <c r="D2233" s="12">
        <v>26992</v>
      </c>
      <c r="E2233" s="13" t="s">
        <v>7281</v>
      </c>
      <c r="F2233" s="13" t="s">
        <v>7282</v>
      </c>
      <c r="G2233" s="13" t="s">
        <v>39</v>
      </c>
      <c r="H2233" s="13"/>
      <c r="I2233" s="12">
        <v>2023</v>
      </c>
      <c r="J2233" s="13" t="s">
        <v>7283</v>
      </c>
      <c r="K2233" s="12">
        <v>9785961483659</v>
      </c>
      <c r="L2233" s="13" t="s">
        <v>7284</v>
      </c>
      <c r="M2233" s="12">
        <v>492</v>
      </c>
      <c r="N2233" s="14">
        <v>0.8</v>
      </c>
      <c r="O2233" s="12">
        <v>170</v>
      </c>
      <c r="P2233" s="12">
        <v>220</v>
      </c>
      <c r="Q2233" s="12">
        <v>16</v>
      </c>
      <c r="R2233" s="13" t="s">
        <v>100</v>
      </c>
      <c r="S2233" s="13" t="s">
        <v>7208</v>
      </c>
      <c r="T2233" s="15">
        <v>3000</v>
      </c>
      <c r="U2233" s="13" t="s">
        <v>268</v>
      </c>
      <c r="V2233" s="13" t="s">
        <v>59</v>
      </c>
      <c r="W2233" s="12">
        <v>10</v>
      </c>
      <c r="X2233" s="33" t="str">
        <f>HYPERLINK("https://www.alpinabook.ru/catalog/book-peterburg","ссылка на книгу")</f>
        <v>ссылка на книгу</v>
      </c>
      <c r="Y2233" s="34" t="str">
        <f>HYPERLINK("https://api-enni.alpina.ru/FilePrivilegesApproval/221","https://api-enni.alpina.ru/FilePrivilegesApproval/221")</f>
        <v>https://api-enni.alpina.ru/FilePrivilegesApproval/221</v>
      </c>
      <c r="Z2233" s="13"/>
      <c r="AT2233" s="1">
        <f t="shared" si="430"/>
        <v>0</v>
      </c>
      <c r="AU2233" s="1">
        <f t="shared" si="431"/>
        <v>0</v>
      </c>
      <c r="AV2233" s="1">
        <f t="shared" si="432"/>
        <v>0</v>
      </c>
      <c r="AW2233" s="1">
        <f t="shared" si="433"/>
        <v>0</v>
      </c>
      <c r="AX2233" s="1">
        <f t="shared" si="434"/>
        <v>0</v>
      </c>
    </row>
    <row r="2234" spans="1:50" s="1" customFormat="1" ht="24.95" customHeight="1" outlineLevel="3" x14ac:dyDescent="0.2">
      <c r="A2234" s="11"/>
      <c r="B2234" s="12">
        <v>730</v>
      </c>
      <c r="C2234" s="15">
        <v>1090</v>
      </c>
      <c r="D2234" s="12">
        <v>27719</v>
      </c>
      <c r="E2234" s="13" t="s">
        <v>7285</v>
      </c>
      <c r="F2234" s="13" t="s">
        <v>7286</v>
      </c>
      <c r="G2234" s="13" t="s">
        <v>39</v>
      </c>
      <c r="H2234" s="13"/>
      <c r="I2234" s="12">
        <v>2023</v>
      </c>
      <c r="J2234" s="13" t="s">
        <v>7287</v>
      </c>
      <c r="K2234" s="12">
        <v>9785961486094</v>
      </c>
      <c r="L2234" s="13" t="s">
        <v>7288</v>
      </c>
      <c r="M2234" s="12">
        <v>208</v>
      </c>
      <c r="N2234" s="14">
        <v>0.41</v>
      </c>
      <c r="O2234" s="12">
        <v>170</v>
      </c>
      <c r="P2234" s="12">
        <v>220</v>
      </c>
      <c r="Q2234" s="12">
        <v>32</v>
      </c>
      <c r="R2234" s="13" t="s">
        <v>100</v>
      </c>
      <c r="S2234" s="13" t="s">
        <v>7208</v>
      </c>
      <c r="T2234" s="15">
        <v>3000</v>
      </c>
      <c r="U2234" s="13" t="s">
        <v>268</v>
      </c>
      <c r="V2234" s="13" t="s">
        <v>59</v>
      </c>
      <c r="W2234" s="12">
        <v>10</v>
      </c>
      <c r="X2234" s="33" t="str">
        <f>HYPERLINK("https://www.alpinabook.ru/catalog/book-puteshestvie-iz-peterburga-v-moskvu","ссылка на книгу")</f>
        <v>ссылка на книгу</v>
      </c>
      <c r="Y2234" s="34" t="str">
        <f>HYPERLINK("https://api-enni.alpina.ru/FilePrivilegesApproval/210","https://api-enni.alpina.ru/FilePrivilegesApproval/210")</f>
        <v>https://api-enni.alpina.ru/FilePrivilegesApproval/210</v>
      </c>
      <c r="Z2234" s="13"/>
      <c r="AT2234" s="1">
        <f t="shared" si="430"/>
        <v>0</v>
      </c>
      <c r="AU2234" s="1">
        <f t="shared" si="431"/>
        <v>0</v>
      </c>
      <c r="AV2234" s="1">
        <f t="shared" si="432"/>
        <v>0</v>
      </c>
      <c r="AW2234" s="1">
        <f t="shared" si="433"/>
        <v>0</v>
      </c>
      <c r="AX2234" s="1">
        <f t="shared" si="434"/>
        <v>0</v>
      </c>
    </row>
    <row r="2235" spans="1:50" s="1" customFormat="1" ht="24.95" customHeight="1" outlineLevel="3" x14ac:dyDescent="0.2">
      <c r="A2235" s="11"/>
      <c r="B2235" s="12">
        <v>720</v>
      </c>
      <c r="C2235" s="15">
        <v>1090</v>
      </c>
      <c r="D2235" s="12">
        <v>31309</v>
      </c>
      <c r="E2235" s="13" t="s">
        <v>7289</v>
      </c>
      <c r="F2235" s="13" t="s">
        <v>7290</v>
      </c>
      <c r="G2235" s="13" t="s">
        <v>39</v>
      </c>
      <c r="H2235" s="13"/>
      <c r="I2235" s="12">
        <v>2025</v>
      </c>
      <c r="J2235" s="13" t="s">
        <v>7291</v>
      </c>
      <c r="K2235" s="12">
        <v>9785002233687</v>
      </c>
      <c r="L2235" s="13" t="s">
        <v>7292</v>
      </c>
      <c r="M2235" s="12">
        <v>460</v>
      </c>
      <c r="N2235" s="14">
        <v>0.65</v>
      </c>
      <c r="O2235" s="12">
        <v>170</v>
      </c>
      <c r="P2235" s="12">
        <v>220</v>
      </c>
      <c r="Q2235" s="12">
        <v>5</v>
      </c>
      <c r="R2235" s="13" t="s">
        <v>100</v>
      </c>
      <c r="S2235" s="13"/>
      <c r="T2235" s="15">
        <v>1500</v>
      </c>
      <c r="U2235" s="13" t="s">
        <v>52</v>
      </c>
      <c r="V2235" s="13" t="s">
        <v>45</v>
      </c>
      <c r="W2235" s="12">
        <v>10</v>
      </c>
      <c r="X2235" s="33" t="str">
        <f>HYPERLINK("https://www.alpinabook.ru/catalog/book-chitatelskiy-bilet","ссылка на книгу")</f>
        <v>ссылка на книгу</v>
      </c>
      <c r="Y2235" s="34" t="str">
        <f>HYPERLINK("https://api-enni.alpina.ru/FilePrivilegesApproval/806","https://api-enni.alpina.ru/FilePrivilegesApproval/806")</f>
        <v>https://api-enni.alpina.ru/FilePrivilegesApproval/806</v>
      </c>
      <c r="Z2235" s="13" t="s">
        <v>70</v>
      </c>
      <c r="AT2235" s="1">
        <f t="shared" si="430"/>
        <v>0</v>
      </c>
      <c r="AU2235" s="1">
        <f t="shared" si="431"/>
        <v>0</v>
      </c>
      <c r="AV2235" s="1">
        <f t="shared" si="432"/>
        <v>0</v>
      </c>
      <c r="AW2235" s="1">
        <f t="shared" si="433"/>
        <v>0</v>
      </c>
      <c r="AX2235" s="1">
        <f t="shared" si="434"/>
        <v>0</v>
      </c>
    </row>
    <row r="2236" spans="1:50" ht="11.1" customHeight="1" outlineLevel="2" x14ac:dyDescent="0.2">
      <c r="A2236" s="40" t="s">
        <v>7293</v>
      </c>
      <c r="B2236" s="40"/>
      <c r="C2236" s="40"/>
      <c r="D2236" s="40"/>
      <c r="E2236" s="40"/>
      <c r="F2236" s="40"/>
      <c r="G2236" s="40"/>
      <c r="H2236" s="40"/>
      <c r="I2236" s="40"/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20"/>
    </row>
    <row r="2237" spans="1:50" s="1" customFormat="1" ht="24.95" customHeight="1" outlineLevel="3" x14ac:dyDescent="0.2">
      <c r="A2237" s="11"/>
      <c r="B2237" s="12">
        <v>540</v>
      </c>
      <c r="C2237" s="12">
        <v>740</v>
      </c>
      <c r="D2237" s="12">
        <v>27723</v>
      </c>
      <c r="E2237" s="13" t="s">
        <v>339</v>
      </c>
      <c r="F2237" s="13" t="s">
        <v>7294</v>
      </c>
      <c r="G2237" s="13" t="s">
        <v>39</v>
      </c>
      <c r="H2237" s="13"/>
      <c r="I2237" s="12">
        <v>2025</v>
      </c>
      <c r="J2237" s="13" t="s">
        <v>7295</v>
      </c>
      <c r="K2237" s="12">
        <v>9785001399490</v>
      </c>
      <c r="L2237" s="13" t="s">
        <v>7296</v>
      </c>
      <c r="M2237" s="12">
        <v>704</v>
      </c>
      <c r="N2237" s="14">
        <v>0.41</v>
      </c>
      <c r="O2237" s="12">
        <v>120</v>
      </c>
      <c r="P2237" s="12">
        <v>170</v>
      </c>
      <c r="Q2237" s="12">
        <v>4</v>
      </c>
      <c r="R2237" s="13" t="s">
        <v>75</v>
      </c>
      <c r="S2237" s="13" t="s">
        <v>7186</v>
      </c>
      <c r="T2237" s="15">
        <v>5000</v>
      </c>
      <c r="U2237" s="13" t="s">
        <v>44</v>
      </c>
      <c r="V2237" s="13" t="s">
        <v>45</v>
      </c>
      <c r="W2237" s="12">
        <v>10</v>
      </c>
      <c r="X2237" s="33" t="str">
        <f>HYPERLINK("https://www.alpinabook.ru/catalog/book-serdtse-parmy","ссылка на книгу")</f>
        <v>ссылка на книгу</v>
      </c>
      <c r="Y2237" s="34" t="str">
        <f>HYPERLINK("https://api-enni.alpina.ru/FilePrivilegesApproval/150","https://api-enni.alpina.ru/FilePrivilegesApproval/150")</f>
        <v>https://api-enni.alpina.ru/FilePrivilegesApproval/150</v>
      </c>
      <c r="Z2237" s="13" t="s">
        <v>865</v>
      </c>
      <c r="AT2237" s="1">
        <f t="shared" ref="AT2237:AT2268" si="435">IF($A2237&lt;&gt;0,1,0)</f>
        <v>0</v>
      </c>
      <c r="AU2237" s="1">
        <f t="shared" ref="AU2237:AU2268" si="436">$A2237*$B2237</f>
        <v>0</v>
      </c>
      <c r="AV2237" s="1">
        <f t="shared" ref="AV2237:AV2268" si="437">$A2237*$N2237</f>
        <v>0</v>
      </c>
      <c r="AW2237" s="1">
        <f t="shared" ref="AW2237:AW2268" si="438">IF($Q2237=0,0,INT($A2237/$Q2237))</f>
        <v>0</v>
      </c>
      <c r="AX2237" s="1">
        <f t="shared" ref="AX2237:AX2268" si="439">$A2237-$AW2237*$Q2237</f>
        <v>0</v>
      </c>
    </row>
    <row r="2238" spans="1:50" s="1" customFormat="1" ht="24.95" customHeight="1" outlineLevel="3" x14ac:dyDescent="0.2">
      <c r="A2238" s="11"/>
      <c r="B2238" s="15">
        <v>1290</v>
      </c>
      <c r="C2238" s="15">
        <v>1290</v>
      </c>
      <c r="D2238" s="12">
        <v>25239</v>
      </c>
      <c r="E2238" s="13" t="s">
        <v>7297</v>
      </c>
      <c r="F2238" s="13" t="s">
        <v>7298</v>
      </c>
      <c r="G2238" s="13" t="s">
        <v>39</v>
      </c>
      <c r="H2238" s="13"/>
      <c r="I2238" s="12">
        <v>2022</v>
      </c>
      <c r="J2238" s="13" t="s">
        <v>7299</v>
      </c>
      <c r="K2238" s="12">
        <v>9785001396529</v>
      </c>
      <c r="L2238" s="13" t="s">
        <v>7300</v>
      </c>
      <c r="M2238" s="12">
        <v>576</v>
      </c>
      <c r="N2238" s="14">
        <v>3</v>
      </c>
      <c r="O2238" s="12">
        <v>146</v>
      </c>
      <c r="P2238" s="12">
        <v>216</v>
      </c>
      <c r="Q2238" s="12">
        <v>2</v>
      </c>
      <c r="R2238" s="13" t="s">
        <v>43</v>
      </c>
      <c r="S2238" s="13"/>
      <c r="T2238" s="15">
        <v>5000</v>
      </c>
      <c r="U2238" s="13" t="s">
        <v>52</v>
      </c>
      <c r="V2238" s="13" t="s">
        <v>89</v>
      </c>
      <c r="W2238" s="12">
        <v>10</v>
      </c>
      <c r="X2238" s="33" t="str">
        <f>HYPERLINK("https://www.alpinabook.ru/catalog/book-mifogennaya-lyubov-kast-2toma","ссылка на книгу")</f>
        <v>ссылка на книгу</v>
      </c>
      <c r="Y2238" s="34" t="str">
        <f>HYPERLINK("https://api-enni.alpina.ru/FilePrivilegesApproval/146","https://api-enni.alpina.ru/FilePrivilegesApproval/146")</f>
        <v>https://api-enni.alpina.ru/FilePrivilegesApproval/146</v>
      </c>
      <c r="Z2238" s="13"/>
      <c r="AT2238" s="1">
        <f t="shared" si="435"/>
        <v>0</v>
      </c>
      <c r="AU2238" s="1">
        <f t="shared" si="436"/>
        <v>0</v>
      </c>
      <c r="AV2238" s="1">
        <f t="shared" si="437"/>
        <v>0</v>
      </c>
      <c r="AW2238" s="1">
        <f t="shared" si="438"/>
        <v>0</v>
      </c>
      <c r="AX2238" s="1">
        <f t="shared" si="439"/>
        <v>0</v>
      </c>
    </row>
    <row r="2239" spans="1:50" s="1" customFormat="1" ht="24.95" customHeight="1" outlineLevel="3" x14ac:dyDescent="0.2">
      <c r="A2239" s="11"/>
      <c r="B2239" s="12">
        <v>640</v>
      </c>
      <c r="C2239" s="12">
        <v>890</v>
      </c>
      <c r="D2239" s="12">
        <v>25024</v>
      </c>
      <c r="E2239" s="13" t="s">
        <v>7301</v>
      </c>
      <c r="F2239" s="13" t="s">
        <v>7302</v>
      </c>
      <c r="G2239" s="13" t="s">
        <v>39</v>
      </c>
      <c r="H2239" s="13"/>
      <c r="I2239" s="12">
        <v>2023</v>
      </c>
      <c r="J2239" s="13" t="s">
        <v>7303</v>
      </c>
      <c r="K2239" s="12">
        <v>9785001396321</v>
      </c>
      <c r="L2239" s="13" t="s">
        <v>7304</v>
      </c>
      <c r="M2239" s="12">
        <v>276</v>
      </c>
      <c r="N2239" s="14">
        <v>0.37</v>
      </c>
      <c r="O2239" s="12">
        <v>150</v>
      </c>
      <c r="P2239" s="12">
        <v>220</v>
      </c>
      <c r="Q2239" s="12">
        <v>12</v>
      </c>
      <c r="R2239" s="13" t="s">
        <v>43</v>
      </c>
      <c r="S2239" s="13"/>
      <c r="T2239" s="15">
        <v>2000</v>
      </c>
      <c r="U2239" s="13" t="s">
        <v>52</v>
      </c>
      <c r="V2239" s="13" t="s">
        <v>89</v>
      </c>
      <c r="W2239" s="12">
        <v>10</v>
      </c>
      <c r="X2239" s="33" t="str">
        <f>HYPERLINK("https://www.alpinabook.ru/catalog/book-316-punkt-v","ссылка на книгу")</f>
        <v>ссылка на книгу</v>
      </c>
      <c r="Y2239" s="34" t="str">
        <f>HYPERLINK("https://api-enni.alpina.ru/FilePrivilegesApproval/171","https://api-enni.alpina.ru/FilePrivilegesApproval/171")</f>
        <v>https://api-enni.alpina.ru/FilePrivilegesApproval/171</v>
      </c>
      <c r="Z2239" s="13"/>
      <c r="AT2239" s="1">
        <f t="shared" si="435"/>
        <v>0</v>
      </c>
      <c r="AU2239" s="1">
        <f t="shared" si="436"/>
        <v>0</v>
      </c>
      <c r="AV2239" s="1">
        <f t="shared" si="437"/>
        <v>0</v>
      </c>
      <c r="AW2239" s="1">
        <f t="shared" si="438"/>
        <v>0</v>
      </c>
      <c r="AX2239" s="1">
        <f t="shared" si="439"/>
        <v>0</v>
      </c>
    </row>
    <row r="2240" spans="1:50" s="1" customFormat="1" ht="21.95" customHeight="1" outlineLevel="3" x14ac:dyDescent="0.2">
      <c r="A2240" s="11"/>
      <c r="B2240" s="12">
        <v>590</v>
      </c>
      <c r="C2240" s="12">
        <v>840</v>
      </c>
      <c r="D2240" s="12">
        <v>28115</v>
      </c>
      <c r="E2240" s="13" t="s">
        <v>7305</v>
      </c>
      <c r="F2240" s="13" t="s">
        <v>7306</v>
      </c>
      <c r="G2240" s="13" t="s">
        <v>39</v>
      </c>
      <c r="H2240" s="13"/>
      <c r="I2240" s="12">
        <v>2024</v>
      </c>
      <c r="J2240" s="13" t="s">
        <v>7307</v>
      </c>
      <c r="K2240" s="12">
        <v>9785002230754</v>
      </c>
      <c r="L2240" s="13" t="s">
        <v>7308</v>
      </c>
      <c r="M2240" s="12">
        <v>352</v>
      </c>
      <c r="N2240" s="14">
        <v>0.43</v>
      </c>
      <c r="O2240" s="12">
        <v>140</v>
      </c>
      <c r="P2240" s="12">
        <v>210</v>
      </c>
      <c r="Q2240" s="12">
        <v>12</v>
      </c>
      <c r="R2240" s="13" t="s">
        <v>82</v>
      </c>
      <c r="S2240" s="13"/>
      <c r="T2240" s="15">
        <v>2000</v>
      </c>
      <c r="U2240" s="13" t="s">
        <v>52</v>
      </c>
      <c r="V2240" s="13" t="s">
        <v>89</v>
      </c>
      <c r="W2240" s="12">
        <v>20</v>
      </c>
      <c r="X2240" s="33" t="str">
        <f>HYPERLINK("https://www.alpinabook.ru/catalog/book-antikvar","ссылка на книгу")</f>
        <v>ссылка на книгу</v>
      </c>
      <c r="Y2240" s="34" t="str">
        <f>HYPERLINK("","")</f>
        <v/>
      </c>
      <c r="Z2240" s="13"/>
      <c r="AT2240" s="1">
        <f t="shared" si="435"/>
        <v>0</v>
      </c>
      <c r="AU2240" s="1">
        <f t="shared" si="436"/>
        <v>0</v>
      </c>
      <c r="AV2240" s="1">
        <f t="shared" si="437"/>
        <v>0</v>
      </c>
      <c r="AW2240" s="1">
        <f t="shared" si="438"/>
        <v>0</v>
      </c>
      <c r="AX2240" s="1">
        <f t="shared" si="439"/>
        <v>0</v>
      </c>
    </row>
    <row r="2241" spans="1:50" s="1" customFormat="1" ht="21.95" customHeight="1" outlineLevel="3" x14ac:dyDescent="0.2">
      <c r="A2241" s="11"/>
      <c r="B2241" s="12">
        <v>690</v>
      </c>
      <c r="C2241" s="12">
        <v>990</v>
      </c>
      <c r="D2241" s="12">
        <v>25423</v>
      </c>
      <c r="E2241" s="13" t="s">
        <v>7309</v>
      </c>
      <c r="F2241" s="13" t="s">
        <v>7310</v>
      </c>
      <c r="G2241" s="13" t="s">
        <v>39</v>
      </c>
      <c r="H2241" s="13"/>
      <c r="I2241" s="12">
        <v>2023</v>
      </c>
      <c r="J2241" s="13" t="s">
        <v>7311</v>
      </c>
      <c r="K2241" s="12">
        <v>9785001396710</v>
      </c>
      <c r="L2241" s="13" t="s">
        <v>7312</v>
      </c>
      <c r="M2241" s="12">
        <v>640</v>
      </c>
      <c r="N2241" s="14">
        <v>0.67</v>
      </c>
      <c r="O2241" s="12">
        <v>150</v>
      </c>
      <c r="P2241" s="12">
        <v>220</v>
      </c>
      <c r="Q2241" s="12">
        <v>8</v>
      </c>
      <c r="R2241" s="13" t="s">
        <v>43</v>
      </c>
      <c r="S2241" s="13"/>
      <c r="T2241" s="15">
        <v>3000</v>
      </c>
      <c r="U2241" s="13" t="s">
        <v>52</v>
      </c>
      <c r="V2241" s="13" t="s">
        <v>89</v>
      </c>
      <c r="W2241" s="12">
        <v>20</v>
      </c>
      <c r="X2241" s="33" t="str">
        <f>HYPERLINK("https://www.alpinabook.ru/catalog/book-barkhatnaya-kibitka","ссылка на книгу")</f>
        <v>ссылка на книгу</v>
      </c>
      <c r="Y2241" s="34" t="str">
        <f>HYPERLINK("","")</f>
        <v/>
      </c>
      <c r="Z2241" s="13"/>
      <c r="AT2241" s="1">
        <f t="shared" si="435"/>
        <v>0</v>
      </c>
      <c r="AU2241" s="1">
        <f t="shared" si="436"/>
        <v>0</v>
      </c>
      <c r="AV2241" s="1">
        <f t="shared" si="437"/>
        <v>0</v>
      </c>
      <c r="AW2241" s="1">
        <f t="shared" si="438"/>
        <v>0</v>
      </c>
      <c r="AX2241" s="1">
        <f t="shared" si="439"/>
        <v>0</v>
      </c>
    </row>
    <row r="2242" spans="1:50" s="1" customFormat="1" ht="21.95" customHeight="1" outlineLevel="3" x14ac:dyDescent="0.2">
      <c r="A2242" s="11"/>
      <c r="B2242" s="12">
        <v>620</v>
      </c>
      <c r="C2242" s="12">
        <v>890</v>
      </c>
      <c r="D2242" s="12">
        <v>32015</v>
      </c>
      <c r="E2242" s="13" t="s">
        <v>7313</v>
      </c>
      <c r="F2242" s="13" t="s">
        <v>7314</v>
      </c>
      <c r="G2242" s="13" t="s">
        <v>39</v>
      </c>
      <c r="H2242" s="13"/>
      <c r="I2242" s="12">
        <v>2025</v>
      </c>
      <c r="J2242" s="13" t="s">
        <v>7315</v>
      </c>
      <c r="K2242" s="12">
        <v>9785002234639</v>
      </c>
      <c r="L2242" s="13" t="s">
        <v>7316</v>
      </c>
      <c r="M2242" s="12">
        <v>448</v>
      </c>
      <c r="N2242" s="14">
        <v>0.35</v>
      </c>
      <c r="O2242" s="12">
        <v>140</v>
      </c>
      <c r="P2242" s="12">
        <v>200</v>
      </c>
      <c r="Q2242" s="12">
        <v>12</v>
      </c>
      <c r="R2242" s="13" t="s">
        <v>43</v>
      </c>
      <c r="S2242" s="13"/>
      <c r="T2242" s="15">
        <v>2000</v>
      </c>
      <c r="U2242" s="13" t="s">
        <v>44</v>
      </c>
      <c r="V2242" s="13" t="s">
        <v>89</v>
      </c>
      <c r="W2242" s="12">
        <v>20</v>
      </c>
      <c r="X2242" s="33" t="str">
        <f>HYPERLINK("https://www.alpinabook.ru/catalog/book-bashnya-tishiny","ссылка на книгу")</f>
        <v>ссылка на книгу</v>
      </c>
      <c r="Y2242" s="34" t="str">
        <f>HYPERLINK("","")</f>
        <v/>
      </c>
      <c r="Z2242" s="13"/>
      <c r="AT2242" s="1">
        <f t="shared" si="435"/>
        <v>0</v>
      </c>
      <c r="AU2242" s="1">
        <f t="shared" si="436"/>
        <v>0</v>
      </c>
      <c r="AV2242" s="1">
        <f t="shared" si="437"/>
        <v>0</v>
      </c>
      <c r="AW2242" s="1">
        <f t="shared" si="438"/>
        <v>0</v>
      </c>
      <c r="AX2242" s="1">
        <f t="shared" si="439"/>
        <v>0</v>
      </c>
    </row>
    <row r="2243" spans="1:50" s="1" customFormat="1" ht="24.95" customHeight="1" outlineLevel="3" x14ac:dyDescent="0.2">
      <c r="A2243" s="11"/>
      <c r="B2243" s="12">
        <v>790</v>
      </c>
      <c r="C2243" s="15">
        <v>1090</v>
      </c>
      <c r="D2243" s="12">
        <v>21195</v>
      </c>
      <c r="E2243" s="13" t="s">
        <v>339</v>
      </c>
      <c r="F2243" s="13" t="s">
        <v>7317</v>
      </c>
      <c r="G2243" s="13" t="s">
        <v>39</v>
      </c>
      <c r="H2243" s="13"/>
      <c r="I2243" s="12">
        <v>2023</v>
      </c>
      <c r="J2243" s="13" t="s">
        <v>7318</v>
      </c>
      <c r="K2243" s="12">
        <v>9785001395027</v>
      </c>
      <c r="L2243" s="13" t="s">
        <v>7319</v>
      </c>
      <c r="M2243" s="12">
        <v>560</v>
      </c>
      <c r="N2243" s="14">
        <v>0.65</v>
      </c>
      <c r="O2243" s="12">
        <v>140</v>
      </c>
      <c r="P2243" s="12">
        <v>210</v>
      </c>
      <c r="Q2243" s="12">
        <v>6</v>
      </c>
      <c r="R2243" s="13" t="s">
        <v>43</v>
      </c>
      <c r="S2243" s="13"/>
      <c r="T2243" s="15">
        <v>1500</v>
      </c>
      <c r="U2243" s="13" t="s">
        <v>52</v>
      </c>
      <c r="V2243" s="13" t="s">
        <v>89</v>
      </c>
      <c r="W2243" s="12">
        <v>10</v>
      </c>
      <c r="X2243" s="33" t="str">
        <f>HYPERLINK("https://www.alpinabook.ru/catalog/book-bluda-i-mudo","ссылка на книгу")</f>
        <v>ссылка на книгу</v>
      </c>
      <c r="Y2243" s="34" t="str">
        <f>HYPERLINK("https://api-enni.alpina.ru/FilePrivilegesApproval/208","https://api-enni.alpina.ru/FilePrivilegesApproval/208")</f>
        <v>https://api-enni.alpina.ru/FilePrivilegesApproval/208</v>
      </c>
      <c r="Z2243" s="13"/>
      <c r="AT2243" s="1">
        <f t="shared" si="435"/>
        <v>0</v>
      </c>
      <c r="AU2243" s="1">
        <f t="shared" si="436"/>
        <v>0</v>
      </c>
      <c r="AV2243" s="1">
        <f t="shared" si="437"/>
        <v>0</v>
      </c>
      <c r="AW2243" s="1">
        <f t="shared" si="438"/>
        <v>0</v>
      </c>
      <c r="AX2243" s="1">
        <f t="shared" si="439"/>
        <v>0</v>
      </c>
    </row>
    <row r="2244" spans="1:50" s="1" customFormat="1" ht="24.95" customHeight="1" outlineLevel="3" x14ac:dyDescent="0.2">
      <c r="A2244" s="11"/>
      <c r="B2244" s="12">
        <v>340</v>
      </c>
      <c r="C2244" s="12">
        <v>590</v>
      </c>
      <c r="D2244" s="12">
        <v>28971</v>
      </c>
      <c r="E2244" s="13" t="s">
        <v>339</v>
      </c>
      <c r="F2244" s="13" t="s">
        <v>7320</v>
      </c>
      <c r="G2244" s="13" t="s">
        <v>39</v>
      </c>
      <c r="H2244" s="13"/>
      <c r="I2244" s="12">
        <v>2023</v>
      </c>
      <c r="J2244" s="13" t="s">
        <v>7321</v>
      </c>
      <c r="K2244" s="12">
        <v>9785002230907</v>
      </c>
      <c r="L2244" s="13" t="s">
        <v>7322</v>
      </c>
      <c r="M2244" s="12">
        <v>672</v>
      </c>
      <c r="N2244" s="14">
        <v>0.39</v>
      </c>
      <c r="O2244" s="12">
        <v>120</v>
      </c>
      <c r="P2244" s="12">
        <v>170</v>
      </c>
      <c r="Q2244" s="12">
        <v>6</v>
      </c>
      <c r="R2244" s="13" t="s">
        <v>75</v>
      </c>
      <c r="S2244" s="13" t="s">
        <v>7186</v>
      </c>
      <c r="T2244" s="15">
        <v>4000</v>
      </c>
      <c r="U2244" s="13" t="s">
        <v>44</v>
      </c>
      <c r="V2244" s="13" t="s">
        <v>89</v>
      </c>
      <c r="W2244" s="12">
        <v>10</v>
      </c>
      <c r="X2244" s="33" t="str">
        <f>HYPERLINK("https://www.alpinabook.ru/catalog/book-bluda-i-mudo","ссылка на книгу")</f>
        <v>ссылка на книгу</v>
      </c>
      <c r="Y2244" s="34" t="str">
        <f>HYPERLINK("https://api-enni.alpina.ru/FilePrivilegesApproval/208","https://api-enni.alpina.ru/FilePrivilegesApproval/208")</f>
        <v>https://api-enni.alpina.ru/FilePrivilegesApproval/208</v>
      </c>
      <c r="Z2244" s="13"/>
      <c r="AT2244" s="1">
        <f t="shared" si="435"/>
        <v>0</v>
      </c>
      <c r="AU2244" s="1">
        <f t="shared" si="436"/>
        <v>0</v>
      </c>
      <c r="AV2244" s="1">
        <f t="shared" si="437"/>
        <v>0</v>
      </c>
      <c r="AW2244" s="1">
        <f t="shared" si="438"/>
        <v>0</v>
      </c>
      <c r="AX2244" s="1">
        <f t="shared" si="439"/>
        <v>0</v>
      </c>
    </row>
    <row r="2245" spans="1:50" s="1" customFormat="1" ht="24.95" customHeight="1" outlineLevel="3" x14ac:dyDescent="0.2">
      <c r="A2245" s="11"/>
      <c r="B2245" s="12">
        <v>540</v>
      </c>
      <c r="C2245" s="12">
        <v>640</v>
      </c>
      <c r="D2245" s="12">
        <v>23118</v>
      </c>
      <c r="E2245" s="13" t="s">
        <v>572</v>
      </c>
      <c r="F2245" s="13" t="s">
        <v>7323</v>
      </c>
      <c r="G2245" s="13" t="s">
        <v>39</v>
      </c>
      <c r="H2245" s="13"/>
      <c r="I2245" s="12">
        <v>2021</v>
      </c>
      <c r="J2245" s="13" t="s">
        <v>7324</v>
      </c>
      <c r="K2245" s="12">
        <v>9785001394747</v>
      </c>
      <c r="L2245" s="13" t="s">
        <v>7325</v>
      </c>
      <c r="M2245" s="12">
        <v>376</v>
      </c>
      <c r="N2245" s="14">
        <v>0.4</v>
      </c>
      <c r="O2245" s="12">
        <v>130</v>
      </c>
      <c r="P2245" s="12">
        <v>206</v>
      </c>
      <c r="Q2245" s="12">
        <v>10</v>
      </c>
      <c r="R2245" s="13" t="s">
        <v>82</v>
      </c>
      <c r="S2245" s="13"/>
      <c r="T2245" s="15">
        <v>3000</v>
      </c>
      <c r="U2245" s="13" t="s">
        <v>52</v>
      </c>
      <c r="V2245" s="13" t="s">
        <v>89</v>
      </c>
      <c r="W2245" s="12">
        <v>10</v>
      </c>
      <c r="X2245" s="33" t="str">
        <f>HYPERLINK("https://www.alpinabook.ru/catalog/book-715716","ссылка на книгу")</f>
        <v>ссылка на книгу</v>
      </c>
      <c r="Y2245" s="34" t="str">
        <f>HYPERLINK("https://api-enni.alpina.ru/FilePrivilegesApproval/207","https://api-enni.alpina.ru/FilePrivilegesApproval/207")</f>
        <v>https://api-enni.alpina.ru/FilePrivilegesApproval/207</v>
      </c>
      <c r="Z2245" s="13"/>
      <c r="AT2245" s="1">
        <f t="shared" si="435"/>
        <v>0</v>
      </c>
      <c r="AU2245" s="1">
        <f t="shared" si="436"/>
        <v>0</v>
      </c>
      <c r="AV2245" s="1">
        <f t="shared" si="437"/>
        <v>0</v>
      </c>
      <c r="AW2245" s="1">
        <f t="shared" si="438"/>
        <v>0</v>
      </c>
      <c r="AX2245" s="1">
        <f t="shared" si="439"/>
        <v>0</v>
      </c>
    </row>
    <row r="2246" spans="1:50" s="1" customFormat="1" ht="24.95" customHeight="1" outlineLevel="3" x14ac:dyDescent="0.2">
      <c r="A2246" s="11"/>
      <c r="B2246" s="12">
        <v>360</v>
      </c>
      <c r="C2246" s="12">
        <v>540</v>
      </c>
      <c r="D2246" s="12">
        <v>28929</v>
      </c>
      <c r="E2246" s="13" t="s">
        <v>7191</v>
      </c>
      <c r="F2246" s="13" t="s">
        <v>7326</v>
      </c>
      <c r="G2246" s="13" t="s">
        <v>39</v>
      </c>
      <c r="H2246" s="13"/>
      <c r="I2246" s="12">
        <v>2024</v>
      </c>
      <c r="J2246" s="13" t="s">
        <v>7327</v>
      </c>
      <c r="K2246" s="12">
        <v>9785002230808</v>
      </c>
      <c r="L2246" s="13" t="s">
        <v>7328</v>
      </c>
      <c r="M2246" s="12">
        <v>446</v>
      </c>
      <c r="N2246" s="14">
        <v>0.27</v>
      </c>
      <c r="O2246" s="12">
        <v>120</v>
      </c>
      <c r="P2246" s="12">
        <v>170</v>
      </c>
      <c r="Q2246" s="12">
        <v>5</v>
      </c>
      <c r="R2246" s="13" t="s">
        <v>75</v>
      </c>
      <c r="S2246" s="13" t="s">
        <v>7186</v>
      </c>
      <c r="T2246" s="15">
        <v>4000</v>
      </c>
      <c r="U2246" s="13" t="s">
        <v>44</v>
      </c>
      <c r="V2246" s="13" t="s">
        <v>45</v>
      </c>
      <c r="W2246" s="12">
        <v>10</v>
      </c>
      <c r="X2246" s="33" t="str">
        <f>HYPERLINK("https://www.alpinabook.ru/catalog/book-bolshaya-sueta","ссылка на книгу")</f>
        <v>ссылка на книгу</v>
      </c>
      <c r="Y2246" s="34" t="str">
        <f>HYPERLINK("https://api-enni.alpina.ru/FilePrivilegesApproval/171","https://api-enni.alpina.ru/FilePrivilegesApproval/171")</f>
        <v>https://api-enni.alpina.ru/FilePrivilegesApproval/171</v>
      </c>
      <c r="Z2246" s="13"/>
      <c r="AT2246" s="1">
        <f t="shared" si="435"/>
        <v>0</v>
      </c>
      <c r="AU2246" s="1">
        <f t="shared" si="436"/>
        <v>0</v>
      </c>
      <c r="AV2246" s="1">
        <f t="shared" si="437"/>
        <v>0</v>
      </c>
      <c r="AW2246" s="1">
        <f t="shared" si="438"/>
        <v>0</v>
      </c>
      <c r="AX2246" s="1">
        <f t="shared" si="439"/>
        <v>0</v>
      </c>
    </row>
    <row r="2247" spans="1:50" s="1" customFormat="1" ht="24.95" customHeight="1" outlineLevel="3" x14ac:dyDescent="0.2">
      <c r="A2247" s="11"/>
      <c r="B2247" s="12">
        <v>340</v>
      </c>
      <c r="C2247" s="12">
        <v>540</v>
      </c>
      <c r="D2247" s="12">
        <v>28071</v>
      </c>
      <c r="E2247" s="13" t="s">
        <v>6500</v>
      </c>
      <c r="F2247" s="13" t="s">
        <v>7329</v>
      </c>
      <c r="G2247" s="13" t="s">
        <v>39</v>
      </c>
      <c r="H2247" s="13"/>
      <c r="I2247" s="12">
        <v>2024</v>
      </c>
      <c r="J2247" s="13" t="s">
        <v>7330</v>
      </c>
      <c r="K2247" s="12">
        <v>9785001399902</v>
      </c>
      <c r="L2247" s="13" t="s">
        <v>7331</v>
      </c>
      <c r="M2247" s="12">
        <v>256</v>
      </c>
      <c r="N2247" s="14">
        <v>0.17</v>
      </c>
      <c r="O2247" s="12">
        <v>120</v>
      </c>
      <c r="P2247" s="12">
        <v>170</v>
      </c>
      <c r="Q2247" s="12">
        <v>7</v>
      </c>
      <c r="R2247" s="13" t="s">
        <v>75</v>
      </c>
      <c r="S2247" s="13" t="s">
        <v>7332</v>
      </c>
      <c r="T2247" s="15">
        <v>4000</v>
      </c>
      <c r="U2247" s="13" t="s">
        <v>44</v>
      </c>
      <c r="V2247" s="13" t="s">
        <v>89</v>
      </c>
      <c r="W2247" s="12">
        <v>20</v>
      </c>
      <c r="X2247" s="33" t="str">
        <f>HYPERLINK("https://www.alpinabook.ru/catalog/book-bretyer","ссылка на книгу")</f>
        <v>ссылка на книгу</v>
      </c>
      <c r="Y2247" s="34" t="str">
        <f>HYPERLINK("https://api-enni.alpina.ru/FilePrivilegesApproval/324","https://api-enni.alpina.ru/FilePrivilegesApproval/324")</f>
        <v>https://api-enni.alpina.ru/FilePrivilegesApproval/324</v>
      </c>
      <c r="Z2247" s="13"/>
      <c r="AT2247" s="1">
        <f t="shared" si="435"/>
        <v>0</v>
      </c>
      <c r="AU2247" s="1">
        <f t="shared" si="436"/>
        <v>0</v>
      </c>
      <c r="AV2247" s="1">
        <f t="shared" si="437"/>
        <v>0</v>
      </c>
      <c r="AW2247" s="1">
        <f t="shared" si="438"/>
        <v>0</v>
      </c>
      <c r="AX2247" s="1">
        <f t="shared" si="439"/>
        <v>0</v>
      </c>
    </row>
    <row r="2248" spans="1:50" s="1" customFormat="1" ht="24.95" customHeight="1" outlineLevel="3" x14ac:dyDescent="0.2">
      <c r="A2248" s="11"/>
      <c r="B2248" s="12">
        <v>540</v>
      </c>
      <c r="C2248" s="12">
        <v>890</v>
      </c>
      <c r="D2248" s="12">
        <v>25025</v>
      </c>
      <c r="E2248" s="13" t="s">
        <v>7301</v>
      </c>
      <c r="F2248" s="13" t="s">
        <v>7333</v>
      </c>
      <c r="G2248" s="13" t="s">
        <v>39</v>
      </c>
      <c r="H2248" s="13"/>
      <c r="I2248" s="12">
        <v>2023</v>
      </c>
      <c r="J2248" s="13" t="s">
        <v>7334</v>
      </c>
      <c r="K2248" s="12">
        <v>9785001396338</v>
      </c>
      <c r="L2248" s="13" t="s">
        <v>7335</v>
      </c>
      <c r="M2248" s="12">
        <v>254</v>
      </c>
      <c r="N2248" s="14">
        <v>0.34</v>
      </c>
      <c r="O2248" s="12">
        <v>150</v>
      </c>
      <c r="P2248" s="12">
        <v>220</v>
      </c>
      <c r="Q2248" s="12">
        <v>14</v>
      </c>
      <c r="R2248" s="13" t="s">
        <v>43</v>
      </c>
      <c r="S2248" s="13"/>
      <c r="T2248" s="15">
        <v>2500</v>
      </c>
      <c r="U2248" s="13" t="s">
        <v>52</v>
      </c>
      <c r="V2248" s="13" t="s">
        <v>89</v>
      </c>
      <c r="W2248" s="12">
        <v>20</v>
      </c>
      <c r="X2248" s="33" t="str">
        <f>HYPERLINK("https://www.alpinabook.ru/catalog/book-v-syrakh-roman-v-promzone","ссылка на книгу")</f>
        <v>ссылка на книгу</v>
      </c>
      <c r="Y2248" s="34" t="str">
        <f>HYPERLINK("https://api-enni.alpina.ru/FilePrivilegesApproval/171","https://api-enni.alpina.ru/FilePrivilegesApproval/171")</f>
        <v>https://api-enni.alpina.ru/FilePrivilegesApproval/171</v>
      </c>
      <c r="Z2248" s="13"/>
      <c r="AT2248" s="1">
        <f t="shared" si="435"/>
        <v>0</v>
      </c>
      <c r="AU2248" s="1">
        <f t="shared" si="436"/>
        <v>0</v>
      </c>
      <c r="AV2248" s="1">
        <f t="shared" si="437"/>
        <v>0</v>
      </c>
      <c r="AW2248" s="1">
        <f t="shared" si="438"/>
        <v>0</v>
      </c>
      <c r="AX2248" s="1">
        <f t="shared" si="439"/>
        <v>0</v>
      </c>
    </row>
    <row r="2249" spans="1:50" s="1" customFormat="1" ht="24.95" customHeight="1" outlineLevel="3" x14ac:dyDescent="0.2">
      <c r="A2249" s="11"/>
      <c r="B2249" s="12">
        <v>340</v>
      </c>
      <c r="C2249" s="12">
        <v>540</v>
      </c>
      <c r="D2249" s="12">
        <v>28169</v>
      </c>
      <c r="E2249" s="13" t="s">
        <v>6500</v>
      </c>
      <c r="F2249" s="13" t="s">
        <v>7336</v>
      </c>
      <c r="G2249" s="13" t="s">
        <v>39</v>
      </c>
      <c r="H2249" s="13"/>
      <c r="I2249" s="12">
        <v>2024</v>
      </c>
      <c r="J2249" s="13" t="s">
        <v>7337</v>
      </c>
      <c r="K2249" s="12">
        <v>9785002230877</v>
      </c>
      <c r="L2249" s="13" t="s">
        <v>7338</v>
      </c>
      <c r="M2249" s="12">
        <v>384</v>
      </c>
      <c r="N2249" s="14">
        <v>0.25</v>
      </c>
      <c r="O2249" s="12">
        <v>120</v>
      </c>
      <c r="P2249" s="12">
        <v>170</v>
      </c>
      <c r="Q2249" s="12">
        <v>4</v>
      </c>
      <c r="R2249" s="13" t="s">
        <v>75</v>
      </c>
      <c r="S2249" s="13" t="s">
        <v>7332</v>
      </c>
      <c r="T2249" s="15">
        <v>4000</v>
      </c>
      <c r="U2249" s="13" t="s">
        <v>44</v>
      </c>
      <c r="V2249" s="13" t="s">
        <v>89</v>
      </c>
      <c r="W2249" s="12">
        <v>10</v>
      </c>
      <c r="X2249" s="33" t="str">
        <f>HYPERLINK("https://www.alpinabook.ru/catalog/book-vdrug-okhotnik-vybegaet","ссылка на книгу")</f>
        <v>ссылка на книгу</v>
      </c>
      <c r="Y2249" s="34" t="str">
        <f>HYPERLINK("https://api-enni.alpina.ru/FilePrivilegesApproval/364","https://api-enni.alpina.ru/FilePrivilegesApproval/364")</f>
        <v>https://api-enni.alpina.ru/FilePrivilegesApproval/364</v>
      </c>
      <c r="Z2249" s="13"/>
      <c r="AT2249" s="1">
        <f t="shared" si="435"/>
        <v>0</v>
      </c>
      <c r="AU2249" s="1">
        <f t="shared" si="436"/>
        <v>0</v>
      </c>
      <c r="AV2249" s="1">
        <f t="shared" si="437"/>
        <v>0</v>
      </c>
      <c r="AW2249" s="1">
        <f t="shared" si="438"/>
        <v>0</v>
      </c>
      <c r="AX2249" s="1">
        <f t="shared" si="439"/>
        <v>0</v>
      </c>
    </row>
    <row r="2250" spans="1:50" s="1" customFormat="1" ht="24.95" customHeight="1" outlineLevel="3" x14ac:dyDescent="0.2">
      <c r="A2250" s="11"/>
      <c r="B2250" s="12">
        <v>640</v>
      </c>
      <c r="C2250" s="12">
        <v>840</v>
      </c>
      <c r="D2250" s="12">
        <v>28652</v>
      </c>
      <c r="E2250" s="13" t="s">
        <v>7179</v>
      </c>
      <c r="F2250" s="13" t="s">
        <v>7339</v>
      </c>
      <c r="G2250" s="13" t="s">
        <v>39</v>
      </c>
      <c r="H2250" s="13"/>
      <c r="I2250" s="12">
        <v>2025</v>
      </c>
      <c r="J2250" s="13" t="s">
        <v>7340</v>
      </c>
      <c r="K2250" s="12">
        <v>9785002230426</v>
      </c>
      <c r="L2250" s="13" t="s">
        <v>7341</v>
      </c>
      <c r="M2250" s="12">
        <v>264</v>
      </c>
      <c r="N2250" s="14">
        <v>0.28999999999999998</v>
      </c>
      <c r="O2250" s="12">
        <v>140</v>
      </c>
      <c r="P2250" s="12">
        <v>210</v>
      </c>
      <c r="Q2250" s="12">
        <v>12</v>
      </c>
      <c r="R2250" s="13" t="s">
        <v>82</v>
      </c>
      <c r="S2250" s="13"/>
      <c r="T2250" s="15">
        <v>1500</v>
      </c>
      <c r="U2250" s="13" t="s">
        <v>52</v>
      </c>
      <c r="V2250" s="13" t="s">
        <v>89</v>
      </c>
      <c r="W2250" s="12">
        <v>20</v>
      </c>
      <c r="X2250" s="33" t="str">
        <f>HYPERLINK("https://www.alpinabook.ru/catalog/book-veter-unosit-mertvye-listya","ссылка на книгу")</f>
        <v>ссылка на книгу</v>
      </c>
      <c r="Y2250" s="34" t="str">
        <f>HYPERLINK("https://api-enni.alpina.ru/FilePrivilegesApproval/338","https://api-enni.alpina.ru/FilePrivilegesApproval/338")</f>
        <v>https://api-enni.alpina.ru/FilePrivilegesApproval/338</v>
      </c>
      <c r="Z2250" s="13" t="s">
        <v>775</v>
      </c>
      <c r="AT2250" s="1">
        <f t="shared" si="435"/>
        <v>0</v>
      </c>
      <c r="AU2250" s="1">
        <f t="shared" si="436"/>
        <v>0</v>
      </c>
      <c r="AV2250" s="1">
        <f t="shared" si="437"/>
        <v>0</v>
      </c>
      <c r="AW2250" s="1">
        <f t="shared" si="438"/>
        <v>0</v>
      </c>
      <c r="AX2250" s="1">
        <f t="shared" si="439"/>
        <v>0</v>
      </c>
    </row>
    <row r="2251" spans="1:50" s="1" customFormat="1" ht="24.95" customHeight="1" outlineLevel="3" x14ac:dyDescent="0.2">
      <c r="A2251" s="11"/>
      <c r="B2251" s="12">
        <v>730</v>
      </c>
      <c r="C2251" s="12">
        <v>990</v>
      </c>
      <c r="D2251" s="12">
        <v>28163</v>
      </c>
      <c r="E2251" s="13" t="s">
        <v>7342</v>
      </c>
      <c r="F2251" s="13" t="s">
        <v>7343</v>
      </c>
      <c r="G2251" s="13" t="s">
        <v>39</v>
      </c>
      <c r="H2251" s="13"/>
      <c r="I2251" s="12">
        <v>2024</v>
      </c>
      <c r="J2251" s="13" t="s">
        <v>7344</v>
      </c>
      <c r="K2251" s="12">
        <v>9785002230730</v>
      </c>
      <c r="L2251" s="13" t="s">
        <v>7345</v>
      </c>
      <c r="M2251" s="12">
        <v>576</v>
      </c>
      <c r="N2251" s="14">
        <v>0.62</v>
      </c>
      <c r="O2251" s="12">
        <v>150</v>
      </c>
      <c r="P2251" s="12">
        <v>220</v>
      </c>
      <c r="Q2251" s="12">
        <v>8</v>
      </c>
      <c r="R2251" s="13" t="s">
        <v>43</v>
      </c>
      <c r="S2251" s="13"/>
      <c r="T2251" s="15">
        <v>1500</v>
      </c>
      <c r="U2251" s="13" t="s">
        <v>52</v>
      </c>
      <c r="V2251" s="13" t="s">
        <v>89</v>
      </c>
      <c r="W2251" s="12">
        <v>10</v>
      </c>
      <c r="X2251" s="33" t="str">
        <f>HYPERLINK("https://www.alpinabook.ru/catalog/book-viland","ссылка на книгу")</f>
        <v>ссылка на книгу</v>
      </c>
      <c r="Y2251" s="34" t="str">
        <f>HYPERLINK("https://api-enni.alpina.ru/FilePrivilegesApproval/364","https://api-enni.alpina.ru/FilePrivilegesApproval/364")</f>
        <v>https://api-enni.alpina.ru/FilePrivilegesApproval/364</v>
      </c>
      <c r="Z2251" s="13"/>
      <c r="AT2251" s="1">
        <f t="shared" si="435"/>
        <v>0</v>
      </c>
      <c r="AU2251" s="1">
        <f t="shared" si="436"/>
        <v>0</v>
      </c>
      <c r="AV2251" s="1">
        <f t="shared" si="437"/>
        <v>0</v>
      </c>
      <c r="AW2251" s="1">
        <f t="shared" si="438"/>
        <v>0</v>
      </c>
      <c r="AX2251" s="1">
        <f t="shared" si="439"/>
        <v>0</v>
      </c>
    </row>
    <row r="2252" spans="1:50" s="1" customFormat="1" ht="24.95" customHeight="1" outlineLevel="3" x14ac:dyDescent="0.2">
      <c r="A2252" s="11"/>
      <c r="B2252" s="12">
        <v>540</v>
      </c>
      <c r="C2252" s="12">
        <v>790</v>
      </c>
      <c r="D2252" s="12">
        <v>26620</v>
      </c>
      <c r="E2252" s="13" t="s">
        <v>7346</v>
      </c>
      <c r="F2252" s="13" t="s">
        <v>7347</v>
      </c>
      <c r="G2252" s="13" t="s">
        <v>39</v>
      </c>
      <c r="H2252" s="13"/>
      <c r="I2252" s="12">
        <v>2024</v>
      </c>
      <c r="J2252" s="13" t="s">
        <v>7348</v>
      </c>
      <c r="K2252" s="12">
        <v>9785001397960</v>
      </c>
      <c r="L2252" s="13" t="s">
        <v>7349</v>
      </c>
      <c r="M2252" s="12">
        <v>312</v>
      </c>
      <c r="N2252" s="14">
        <v>0.3</v>
      </c>
      <c r="O2252" s="12">
        <v>140</v>
      </c>
      <c r="P2252" s="12">
        <v>210</v>
      </c>
      <c r="Q2252" s="12">
        <v>4</v>
      </c>
      <c r="R2252" s="13" t="s">
        <v>43</v>
      </c>
      <c r="S2252" s="13"/>
      <c r="T2252" s="15">
        <v>1000</v>
      </c>
      <c r="U2252" s="13" t="s">
        <v>44</v>
      </c>
      <c r="V2252" s="13" t="s">
        <v>89</v>
      </c>
      <c r="W2252" s="12">
        <v>10</v>
      </c>
      <c r="X2252" s="33" t="str">
        <f>HYPERLINK("https://www.alpinabook.ru/catalog/book-volshebnyy-hor","ссылка на книгу")</f>
        <v>ссылка на книгу</v>
      </c>
      <c r="Y2252" s="34" t="str">
        <f>HYPERLINK("https://api-enni.alpina.ru/FilePrivilegesApproval/171","https://api-enni.alpina.ru/FilePrivilegesApproval/171")</f>
        <v>https://api-enni.alpina.ru/FilePrivilegesApproval/171</v>
      </c>
      <c r="Z2252" s="13"/>
      <c r="AT2252" s="1">
        <f t="shared" si="435"/>
        <v>0</v>
      </c>
      <c r="AU2252" s="1">
        <f t="shared" si="436"/>
        <v>0</v>
      </c>
      <c r="AV2252" s="1">
        <f t="shared" si="437"/>
        <v>0</v>
      </c>
      <c r="AW2252" s="1">
        <f t="shared" si="438"/>
        <v>0</v>
      </c>
      <c r="AX2252" s="1">
        <f t="shared" si="439"/>
        <v>0</v>
      </c>
    </row>
    <row r="2253" spans="1:50" s="1" customFormat="1" ht="21.95" customHeight="1" outlineLevel="3" x14ac:dyDescent="0.2">
      <c r="A2253" s="11"/>
      <c r="B2253" s="12">
        <v>540</v>
      </c>
      <c r="C2253" s="12">
        <v>740</v>
      </c>
      <c r="D2253" s="12">
        <v>29959</v>
      </c>
      <c r="E2253" s="13" t="s">
        <v>7350</v>
      </c>
      <c r="F2253" s="13" t="s">
        <v>7351</v>
      </c>
      <c r="G2253" s="13" t="s">
        <v>39</v>
      </c>
      <c r="H2253" s="13"/>
      <c r="I2253" s="12">
        <v>2024</v>
      </c>
      <c r="J2253" s="13" t="s">
        <v>7352</v>
      </c>
      <c r="K2253" s="12">
        <v>9785002232178</v>
      </c>
      <c r="L2253" s="13" t="s">
        <v>7353</v>
      </c>
      <c r="M2253" s="12">
        <v>254</v>
      </c>
      <c r="N2253" s="14">
        <v>0.27</v>
      </c>
      <c r="O2253" s="12">
        <v>130</v>
      </c>
      <c r="P2253" s="12">
        <v>210</v>
      </c>
      <c r="Q2253" s="12">
        <v>14</v>
      </c>
      <c r="R2253" s="13" t="s">
        <v>82</v>
      </c>
      <c r="S2253" s="13"/>
      <c r="T2253" s="15">
        <v>2500</v>
      </c>
      <c r="U2253" s="13" t="s">
        <v>52</v>
      </c>
      <c r="V2253" s="13" t="s">
        <v>89</v>
      </c>
      <c r="W2253" s="12">
        <v>20</v>
      </c>
      <c r="X2253" s="33" t="str">
        <f>HYPERLINK("https://www.alpinabook.ru/catalog/book-vosmidesyatyy-gradus","ссылка на книгу")</f>
        <v>ссылка на книгу</v>
      </c>
      <c r="Y2253" s="34" t="str">
        <f>HYPERLINK("","")</f>
        <v/>
      </c>
      <c r="Z2253" s="13"/>
      <c r="AT2253" s="1">
        <f t="shared" si="435"/>
        <v>0</v>
      </c>
      <c r="AU2253" s="1">
        <f t="shared" si="436"/>
        <v>0</v>
      </c>
      <c r="AV2253" s="1">
        <f t="shared" si="437"/>
        <v>0</v>
      </c>
      <c r="AW2253" s="1">
        <f t="shared" si="438"/>
        <v>0</v>
      </c>
      <c r="AX2253" s="1">
        <f t="shared" si="439"/>
        <v>0</v>
      </c>
    </row>
    <row r="2254" spans="1:50" s="1" customFormat="1" ht="24.95" customHeight="1" outlineLevel="3" x14ac:dyDescent="0.2">
      <c r="A2254" s="11"/>
      <c r="B2254" s="12">
        <v>590</v>
      </c>
      <c r="C2254" s="12">
        <v>590</v>
      </c>
      <c r="D2254" s="12">
        <v>23653</v>
      </c>
      <c r="E2254" s="13" t="s">
        <v>7354</v>
      </c>
      <c r="F2254" s="13" t="s">
        <v>7355</v>
      </c>
      <c r="G2254" s="13" t="s">
        <v>39</v>
      </c>
      <c r="H2254" s="13"/>
      <c r="I2254" s="12">
        <v>2021</v>
      </c>
      <c r="J2254" s="13" t="s">
        <v>7356</v>
      </c>
      <c r="K2254" s="12">
        <v>9785001395591</v>
      </c>
      <c r="L2254" s="13" t="s">
        <v>7357</v>
      </c>
      <c r="M2254" s="12">
        <v>280</v>
      </c>
      <c r="N2254" s="14">
        <v>0.33</v>
      </c>
      <c r="O2254" s="12">
        <v>130</v>
      </c>
      <c r="P2254" s="12">
        <v>206</v>
      </c>
      <c r="Q2254" s="12">
        <v>12</v>
      </c>
      <c r="R2254" s="13" t="s">
        <v>82</v>
      </c>
      <c r="S2254" s="13"/>
      <c r="T2254" s="15">
        <v>3000</v>
      </c>
      <c r="U2254" s="13" t="s">
        <v>52</v>
      </c>
      <c r="V2254" s="13" t="s">
        <v>89</v>
      </c>
      <c r="W2254" s="12">
        <v>10</v>
      </c>
      <c r="X2254" s="33" t="str">
        <f>HYPERLINK("https://www.alpinabook.ru/catalog/book-vremya-vyshlo","ссылка на книгу")</f>
        <v>ссылка на книгу</v>
      </c>
      <c r="Y2254" s="34" t="str">
        <f>HYPERLINK("https://api-enni.alpina.ru/FilePrivilegesApproval/149","https://api-enni.alpina.ru/FilePrivilegesApproval/149")</f>
        <v>https://api-enni.alpina.ru/FilePrivilegesApproval/149</v>
      </c>
      <c r="Z2254" s="13"/>
      <c r="AT2254" s="1">
        <f t="shared" si="435"/>
        <v>0</v>
      </c>
      <c r="AU2254" s="1">
        <f t="shared" si="436"/>
        <v>0</v>
      </c>
      <c r="AV2254" s="1">
        <f t="shared" si="437"/>
        <v>0</v>
      </c>
      <c r="AW2254" s="1">
        <f t="shared" si="438"/>
        <v>0</v>
      </c>
      <c r="AX2254" s="1">
        <f t="shared" si="439"/>
        <v>0</v>
      </c>
    </row>
    <row r="2255" spans="1:50" s="1" customFormat="1" ht="21.95" customHeight="1" outlineLevel="3" x14ac:dyDescent="0.2">
      <c r="A2255" s="11"/>
      <c r="B2255" s="12">
        <v>540</v>
      </c>
      <c r="C2255" s="12">
        <v>540</v>
      </c>
      <c r="D2255" s="12">
        <v>26470</v>
      </c>
      <c r="E2255" s="13" t="s">
        <v>7358</v>
      </c>
      <c r="F2255" s="13" t="s">
        <v>7359</v>
      </c>
      <c r="G2255" s="13" t="s">
        <v>39</v>
      </c>
      <c r="H2255" s="13"/>
      <c r="I2255" s="12">
        <v>2023</v>
      </c>
      <c r="J2255" s="13" t="s">
        <v>7360</v>
      </c>
      <c r="K2255" s="12">
        <v>9785001397748</v>
      </c>
      <c r="L2255" s="13" t="s">
        <v>7361</v>
      </c>
      <c r="M2255" s="12">
        <v>320</v>
      </c>
      <c r="N2255" s="14">
        <v>0.3</v>
      </c>
      <c r="O2255" s="12">
        <v>130</v>
      </c>
      <c r="P2255" s="12">
        <v>210</v>
      </c>
      <c r="Q2255" s="12">
        <v>12</v>
      </c>
      <c r="R2255" s="13" t="s">
        <v>82</v>
      </c>
      <c r="S2255" s="13"/>
      <c r="T2255" s="15">
        <v>2000</v>
      </c>
      <c r="U2255" s="13" t="s">
        <v>52</v>
      </c>
      <c r="V2255" s="13" t="s">
        <v>89</v>
      </c>
      <c r="W2255" s="12">
        <v>20</v>
      </c>
      <c r="X2255" s="33" t="str">
        <f>HYPERLINK("https://www.alpinabook.ru/catalog/book-vtorzhenie","ссылка на книгу")</f>
        <v>ссылка на книгу</v>
      </c>
      <c r="Y2255" s="34" t="str">
        <f>HYPERLINK("","")</f>
        <v/>
      </c>
      <c r="Z2255" s="13"/>
      <c r="AT2255" s="1">
        <f t="shared" si="435"/>
        <v>0</v>
      </c>
      <c r="AU2255" s="1">
        <f t="shared" si="436"/>
        <v>0</v>
      </c>
      <c r="AV2255" s="1">
        <f t="shared" si="437"/>
        <v>0</v>
      </c>
      <c r="AW2255" s="1">
        <f t="shared" si="438"/>
        <v>0</v>
      </c>
      <c r="AX2255" s="1">
        <f t="shared" si="439"/>
        <v>0</v>
      </c>
    </row>
    <row r="2256" spans="1:50" s="1" customFormat="1" ht="24.95" customHeight="1" outlineLevel="3" x14ac:dyDescent="0.2">
      <c r="A2256" s="11"/>
      <c r="B2256" s="12">
        <v>430</v>
      </c>
      <c r="C2256" s="12">
        <v>590</v>
      </c>
      <c r="D2256" s="12">
        <v>27722</v>
      </c>
      <c r="E2256" s="13" t="s">
        <v>339</v>
      </c>
      <c r="F2256" s="13" t="s">
        <v>7362</v>
      </c>
      <c r="G2256" s="13" t="s">
        <v>39</v>
      </c>
      <c r="H2256" s="13"/>
      <c r="I2256" s="12">
        <v>2025</v>
      </c>
      <c r="J2256" s="13" t="s">
        <v>7363</v>
      </c>
      <c r="K2256" s="12">
        <v>9785001399483</v>
      </c>
      <c r="L2256" s="13" t="s">
        <v>7364</v>
      </c>
      <c r="M2256" s="12">
        <v>512</v>
      </c>
      <c r="N2256" s="14">
        <v>0.3</v>
      </c>
      <c r="O2256" s="12">
        <v>120</v>
      </c>
      <c r="P2256" s="12">
        <v>170</v>
      </c>
      <c r="Q2256" s="12">
        <v>20</v>
      </c>
      <c r="R2256" s="13" t="s">
        <v>75</v>
      </c>
      <c r="S2256" s="13" t="s">
        <v>7186</v>
      </c>
      <c r="T2256" s="15">
        <v>2000</v>
      </c>
      <c r="U2256" s="13" t="s">
        <v>44</v>
      </c>
      <c r="V2256" s="13" t="s">
        <v>89</v>
      </c>
      <c r="W2256" s="12">
        <v>10</v>
      </c>
      <c r="X2256" s="33" t="str">
        <f>HYPERLINK("https://www.alpinabook.ru/catalog/book-geograf-globus-propil","ссылка на книгу")</f>
        <v>ссылка на книгу</v>
      </c>
      <c r="Y2256" s="34" t="str">
        <f>HYPERLINK("https://api-enni.alpina.ru/FilePrivilegesApproval/208","https://api-enni.alpina.ru/FilePrivilegesApproval/208")</f>
        <v>https://api-enni.alpina.ru/FilePrivilegesApproval/208</v>
      </c>
      <c r="Z2256" s="13" t="s">
        <v>775</v>
      </c>
      <c r="AT2256" s="1">
        <f t="shared" si="435"/>
        <v>0</v>
      </c>
      <c r="AU2256" s="1">
        <f t="shared" si="436"/>
        <v>0</v>
      </c>
      <c r="AV2256" s="1">
        <f t="shared" si="437"/>
        <v>0</v>
      </c>
      <c r="AW2256" s="1">
        <f t="shared" si="438"/>
        <v>0</v>
      </c>
      <c r="AX2256" s="1">
        <f t="shared" si="439"/>
        <v>0</v>
      </c>
    </row>
    <row r="2257" spans="1:50" s="1" customFormat="1" ht="24.95" customHeight="1" outlineLevel="3" x14ac:dyDescent="0.2">
      <c r="A2257" s="11"/>
      <c r="B2257" s="12">
        <v>440</v>
      </c>
      <c r="C2257" s="12">
        <v>740</v>
      </c>
      <c r="D2257" s="12">
        <v>27063</v>
      </c>
      <c r="E2257" s="13" t="s">
        <v>7365</v>
      </c>
      <c r="F2257" s="13" t="s">
        <v>7366</v>
      </c>
      <c r="G2257" s="13" t="s">
        <v>39</v>
      </c>
      <c r="H2257" s="13"/>
      <c r="I2257" s="12">
        <v>2023</v>
      </c>
      <c r="J2257" s="13" t="s">
        <v>7367</v>
      </c>
      <c r="K2257" s="12">
        <v>9785001398639</v>
      </c>
      <c r="L2257" s="13" t="s">
        <v>7368</v>
      </c>
      <c r="M2257" s="12">
        <v>320</v>
      </c>
      <c r="N2257" s="14">
        <v>0.4</v>
      </c>
      <c r="O2257" s="12">
        <v>150</v>
      </c>
      <c r="P2257" s="12">
        <v>210</v>
      </c>
      <c r="Q2257" s="12">
        <v>12</v>
      </c>
      <c r="R2257" s="13" t="s">
        <v>43</v>
      </c>
      <c r="S2257" s="13"/>
      <c r="T2257" s="15">
        <v>1500</v>
      </c>
      <c r="U2257" s="13" t="s">
        <v>44</v>
      </c>
      <c r="V2257" s="13" t="s">
        <v>89</v>
      </c>
      <c r="W2257" s="12">
        <v>10</v>
      </c>
      <c r="X2257" s="33" t="str">
        <f>HYPERLINK("https://www.alpinabook.ru/catalog/book-gnezdo-sinitsy","ссылка на книгу")</f>
        <v>ссылка на книгу</v>
      </c>
      <c r="Y2257" s="34" t="str">
        <f>HYPERLINK("https://api-enni.alpina.ru/FilePrivilegesApproval/279","https://api-enni.alpina.ru/FilePrivilegesApproval/279")</f>
        <v>https://api-enni.alpina.ru/FilePrivilegesApproval/279</v>
      </c>
      <c r="Z2257" s="13"/>
      <c r="AT2257" s="1">
        <f t="shared" si="435"/>
        <v>0</v>
      </c>
      <c r="AU2257" s="1">
        <f t="shared" si="436"/>
        <v>0</v>
      </c>
      <c r="AV2257" s="1">
        <f t="shared" si="437"/>
        <v>0</v>
      </c>
      <c r="AW2257" s="1">
        <f t="shared" si="438"/>
        <v>0</v>
      </c>
      <c r="AX2257" s="1">
        <f t="shared" si="439"/>
        <v>0</v>
      </c>
    </row>
    <row r="2258" spans="1:50" s="1" customFormat="1" ht="24.95" customHeight="1" outlineLevel="3" x14ac:dyDescent="0.2">
      <c r="A2258" s="11"/>
      <c r="B2258" s="12">
        <v>490</v>
      </c>
      <c r="C2258" s="12">
        <v>740</v>
      </c>
      <c r="D2258" s="12">
        <v>29551</v>
      </c>
      <c r="E2258" s="13" t="s">
        <v>7369</v>
      </c>
      <c r="F2258" s="13" t="s">
        <v>7370</v>
      </c>
      <c r="G2258" s="13" t="s">
        <v>39</v>
      </c>
      <c r="H2258" s="13"/>
      <c r="I2258" s="12">
        <v>2024</v>
      </c>
      <c r="J2258" s="13" t="s">
        <v>7371</v>
      </c>
      <c r="K2258" s="12">
        <v>9785002231515</v>
      </c>
      <c r="L2258" s="13" t="s">
        <v>7372</v>
      </c>
      <c r="M2258" s="12">
        <v>176</v>
      </c>
      <c r="N2258" s="14">
        <v>0.15</v>
      </c>
      <c r="O2258" s="12">
        <v>130</v>
      </c>
      <c r="P2258" s="12">
        <v>200</v>
      </c>
      <c r="Q2258" s="12">
        <v>20</v>
      </c>
      <c r="R2258" s="13" t="s">
        <v>82</v>
      </c>
      <c r="S2258" s="13"/>
      <c r="T2258" s="15">
        <v>2000</v>
      </c>
      <c r="U2258" s="13" t="s">
        <v>44</v>
      </c>
      <c r="V2258" s="13" t="s">
        <v>89</v>
      </c>
      <c r="W2258" s="12">
        <v>20</v>
      </c>
      <c r="X2258" s="33" t="str">
        <f>HYPERLINK("https://www.alpinabook.ru/catalog/book-govori","ссылка на книгу")</f>
        <v>ссылка на книгу</v>
      </c>
      <c r="Y2258" s="34" t="str">
        <f>HYPERLINK("https://api-enni.alpina.ru/FilePrivilegesApproval/432","https://api-enni.alpina.ru/FilePrivilegesApproval/432")</f>
        <v>https://api-enni.alpina.ru/FilePrivilegesApproval/432</v>
      </c>
      <c r="Z2258" s="13"/>
      <c r="AT2258" s="1">
        <f t="shared" si="435"/>
        <v>0</v>
      </c>
      <c r="AU2258" s="1">
        <f t="shared" si="436"/>
        <v>0</v>
      </c>
      <c r="AV2258" s="1">
        <f t="shared" si="437"/>
        <v>0</v>
      </c>
      <c r="AW2258" s="1">
        <f t="shared" si="438"/>
        <v>0</v>
      </c>
      <c r="AX2258" s="1">
        <f t="shared" si="439"/>
        <v>0</v>
      </c>
    </row>
    <row r="2259" spans="1:50" s="1" customFormat="1" ht="24.95" customHeight="1" outlineLevel="3" x14ac:dyDescent="0.2">
      <c r="A2259" s="11"/>
      <c r="B2259" s="12">
        <v>440</v>
      </c>
      <c r="C2259" s="12">
        <v>690</v>
      </c>
      <c r="D2259" s="12">
        <v>31238</v>
      </c>
      <c r="E2259" s="13" t="s">
        <v>7373</v>
      </c>
      <c r="F2259" s="13" t="s">
        <v>7374</v>
      </c>
      <c r="G2259" s="13" t="s">
        <v>39</v>
      </c>
      <c r="H2259" s="13"/>
      <c r="I2259" s="12">
        <v>2024</v>
      </c>
      <c r="J2259" s="13" t="s">
        <v>7375</v>
      </c>
      <c r="K2259" s="12">
        <v>9785002233588</v>
      </c>
      <c r="L2259" s="13" t="s">
        <v>7376</v>
      </c>
      <c r="M2259" s="12">
        <v>188</v>
      </c>
      <c r="N2259" s="14">
        <v>0.23</v>
      </c>
      <c r="O2259" s="12">
        <v>130</v>
      </c>
      <c r="P2259" s="12">
        <v>210</v>
      </c>
      <c r="Q2259" s="12">
        <v>20</v>
      </c>
      <c r="R2259" s="13" t="s">
        <v>82</v>
      </c>
      <c r="S2259" s="13"/>
      <c r="T2259" s="15">
        <v>1500</v>
      </c>
      <c r="U2259" s="13" t="s">
        <v>52</v>
      </c>
      <c r="V2259" s="13" t="s">
        <v>45</v>
      </c>
      <c r="W2259" s="12">
        <v>10</v>
      </c>
      <c r="X2259" s="33" t="str">
        <f>HYPERLINK("https://www.alpinabook.ru/catalog/book-god-v-chuvashii","ссылка на книгу")</f>
        <v>ссылка на книгу</v>
      </c>
      <c r="Y2259" s="34" t="str">
        <f>HYPERLINK("https://api-enni.alpina.ru/FilePrivilegesApproval/763","https://api-enni.alpina.ru/FilePrivilegesApproval/763")</f>
        <v>https://api-enni.alpina.ru/FilePrivilegesApproval/763</v>
      </c>
      <c r="Z2259" s="13"/>
      <c r="AT2259" s="1">
        <f t="shared" si="435"/>
        <v>0</v>
      </c>
      <c r="AU2259" s="1">
        <f t="shared" si="436"/>
        <v>0</v>
      </c>
      <c r="AV2259" s="1">
        <f t="shared" si="437"/>
        <v>0</v>
      </c>
      <c r="AW2259" s="1">
        <f t="shared" si="438"/>
        <v>0</v>
      </c>
      <c r="AX2259" s="1">
        <f t="shared" si="439"/>
        <v>0</v>
      </c>
    </row>
    <row r="2260" spans="1:50" s="1" customFormat="1" ht="24.95" customHeight="1" outlineLevel="3" x14ac:dyDescent="0.2">
      <c r="A2260" s="11"/>
      <c r="B2260" s="12">
        <v>590</v>
      </c>
      <c r="C2260" s="12">
        <v>840</v>
      </c>
      <c r="D2260" s="12">
        <v>31116</v>
      </c>
      <c r="E2260" s="13" t="s">
        <v>143</v>
      </c>
      <c r="F2260" s="13" t="s">
        <v>7377</v>
      </c>
      <c r="G2260" s="13" t="s">
        <v>39</v>
      </c>
      <c r="H2260" s="13"/>
      <c r="I2260" s="12">
        <v>2024</v>
      </c>
      <c r="J2260" s="13" t="s">
        <v>7378</v>
      </c>
      <c r="K2260" s="12">
        <v>9785002233380</v>
      </c>
      <c r="L2260" s="13" t="s">
        <v>7379</v>
      </c>
      <c r="M2260" s="12">
        <v>304</v>
      </c>
      <c r="N2260" s="14">
        <v>0.31</v>
      </c>
      <c r="O2260" s="12">
        <v>140</v>
      </c>
      <c r="P2260" s="12">
        <v>210</v>
      </c>
      <c r="Q2260" s="12">
        <v>12</v>
      </c>
      <c r="R2260" s="13" t="s">
        <v>82</v>
      </c>
      <c r="S2260" s="13"/>
      <c r="T2260" s="15">
        <v>2000</v>
      </c>
      <c r="U2260" s="13" t="s">
        <v>52</v>
      </c>
      <c r="V2260" s="13" t="s">
        <v>45</v>
      </c>
      <c r="W2260" s="12">
        <v>10</v>
      </c>
      <c r="X2260" s="33" t="str">
        <f>HYPERLINK("https://www.alpinabook.ru/catalog/book-dalniy-log","ссылка на книгу")</f>
        <v>ссылка на книгу</v>
      </c>
      <c r="Y2260" s="34" t="str">
        <f>HYPERLINK("https://api-enni.alpina.ru/FilePrivilegesApproval/714","https://api-enni.alpina.ru/FilePrivilegesApproval/714")</f>
        <v>https://api-enni.alpina.ru/FilePrivilegesApproval/714</v>
      </c>
      <c r="Z2260" s="13"/>
      <c r="AT2260" s="1">
        <f t="shared" si="435"/>
        <v>0</v>
      </c>
      <c r="AU2260" s="1">
        <f t="shared" si="436"/>
        <v>0</v>
      </c>
      <c r="AV2260" s="1">
        <f t="shared" si="437"/>
        <v>0</v>
      </c>
      <c r="AW2260" s="1">
        <f t="shared" si="438"/>
        <v>0</v>
      </c>
      <c r="AX2260" s="1">
        <f t="shared" si="439"/>
        <v>0</v>
      </c>
    </row>
    <row r="2261" spans="1:50" s="1" customFormat="1" ht="21.95" customHeight="1" outlineLevel="3" x14ac:dyDescent="0.2">
      <c r="A2261" s="11"/>
      <c r="B2261" s="12">
        <v>640</v>
      </c>
      <c r="C2261" s="12">
        <v>940</v>
      </c>
      <c r="D2261" s="12">
        <v>31245</v>
      </c>
      <c r="E2261" s="13" t="s">
        <v>7380</v>
      </c>
      <c r="F2261" s="13" t="s">
        <v>7381</v>
      </c>
      <c r="G2261" s="13" t="s">
        <v>49</v>
      </c>
      <c r="H2261" s="13"/>
      <c r="I2261" s="12">
        <v>2024</v>
      </c>
      <c r="J2261" s="13" t="s">
        <v>7382</v>
      </c>
      <c r="K2261" s="12">
        <v>9786018115912</v>
      </c>
      <c r="L2261" s="13" t="s">
        <v>7383</v>
      </c>
      <c r="M2261" s="12">
        <v>292</v>
      </c>
      <c r="N2261" s="14">
        <v>0.45</v>
      </c>
      <c r="O2261" s="12">
        <v>150</v>
      </c>
      <c r="P2261" s="12">
        <v>220</v>
      </c>
      <c r="Q2261" s="12">
        <v>7</v>
      </c>
      <c r="R2261" s="13" t="s">
        <v>43</v>
      </c>
      <c r="S2261" s="13"/>
      <c r="T2261" s="15">
        <v>2000</v>
      </c>
      <c r="U2261" s="13" t="s">
        <v>52</v>
      </c>
      <c r="V2261" s="13" t="s">
        <v>45</v>
      </c>
      <c r="W2261" s="12">
        <v>20</v>
      </c>
      <c r="X2261" s="33" t="str">
        <f>HYPERLINK("https://www.alpinabook.ru/catalog/book-data-s","ссылка на книгу")</f>
        <v>ссылка на книгу</v>
      </c>
      <c r="Y2261" s="34" t="str">
        <f>HYPERLINK("","")</f>
        <v/>
      </c>
      <c r="Z2261" s="13"/>
      <c r="AT2261" s="1">
        <f t="shared" si="435"/>
        <v>0</v>
      </c>
      <c r="AU2261" s="1">
        <f t="shared" si="436"/>
        <v>0</v>
      </c>
      <c r="AV2261" s="1">
        <f t="shared" si="437"/>
        <v>0</v>
      </c>
      <c r="AW2261" s="1">
        <f t="shared" si="438"/>
        <v>0</v>
      </c>
      <c r="AX2261" s="1">
        <f t="shared" si="439"/>
        <v>0</v>
      </c>
    </row>
    <row r="2262" spans="1:50" s="1" customFormat="1" ht="21.95" customHeight="1" outlineLevel="3" x14ac:dyDescent="0.2">
      <c r="A2262" s="11"/>
      <c r="B2262" s="12">
        <v>590</v>
      </c>
      <c r="C2262" s="12">
        <v>840</v>
      </c>
      <c r="D2262" s="12">
        <v>32045</v>
      </c>
      <c r="E2262" s="13" t="s">
        <v>7384</v>
      </c>
      <c r="F2262" s="13" t="s">
        <v>7385</v>
      </c>
      <c r="G2262" s="13" t="s">
        <v>49</v>
      </c>
      <c r="H2262" s="13"/>
      <c r="I2262" s="12">
        <v>2024</v>
      </c>
      <c r="J2262" s="13" t="s">
        <v>7386</v>
      </c>
      <c r="K2262" s="12">
        <v>9786018210280</v>
      </c>
      <c r="L2262" s="13" t="s">
        <v>7387</v>
      </c>
      <c r="M2262" s="12">
        <v>176</v>
      </c>
      <c r="N2262" s="14">
        <v>0.32</v>
      </c>
      <c r="O2262" s="12">
        <v>150</v>
      </c>
      <c r="P2262" s="12">
        <v>220</v>
      </c>
      <c r="Q2262" s="12">
        <v>10</v>
      </c>
      <c r="R2262" s="13" t="s">
        <v>43</v>
      </c>
      <c r="S2262" s="13"/>
      <c r="T2262" s="15">
        <v>1000</v>
      </c>
      <c r="U2262" s="13" t="s">
        <v>52</v>
      </c>
      <c r="V2262" s="13" t="s">
        <v>45</v>
      </c>
      <c r="W2262" s="12">
        <v>20</v>
      </c>
      <c r="X2262" s="33" t="str">
        <f>HYPERLINK("https://www.alpinabook.ru/catalog/book-delo-bylo-v-almaty-ili-almaznye-dveri","ссылка на книгу")</f>
        <v>ссылка на книгу</v>
      </c>
      <c r="Y2262" s="34" t="str">
        <f>HYPERLINK("","")</f>
        <v/>
      </c>
      <c r="Z2262" s="13" t="s">
        <v>567</v>
      </c>
      <c r="AT2262" s="1">
        <f t="shared" si="435"/>
        <v>0</v>
      </c>
      <c r="AU2262" s="1">
        <f t="shared" si="436"/>
        <v>0</v>
      </c>
      <c r="AV2262" s="1">
        <f t="shared" si="437"/>
        <v>0</v>
      </c>
      <c r="AW2262" s="1">
        <f t="shared" si="438"/>
        <v>0</v>
      </c>
      <c r="AX2262" s="1">
        <f t="shared" si="439"/>
        <v>0</v>
      </c>
    </row>
    <row r="2263" spans="1:50" s="1" customFormat="1" ht="24.95" customHeight="1" outlineLevel="3" x14ac:dyDescent="0.2">
      <c r="A2263" s="11"/>
      <c r="B2263" s="12">
        <v>590</v>
      </c>
      <c r="C2263" s="12">
        <v>840</v>
      </c>
      <c r="D2263" s="12">
        <v>29728</v>
      </c>
      <c r="E2263" s="13" t="s">
        <v>7388</v>
      </c>
      <c r="F2263" s="13" t="s">
        <v>7389</v>
      </c>
      <c r="G2263" s="13" t="s">
        <v>39</v>
      </c>
      <c r="H2263" s="13"/>
      <c r="I2263" s="12">
        <v>2024</v>
      </c>
      <c r="J2263" s="13" t="s">
        <v>7390</v>
      </c>
      <c r="K2263" s="12">
        <v>9785002231713</v>
      </c>
      <c r="L2263" s="13" t="s">
        <v>7391</v>
      </c>
      <c r="M2263" s="12">
        <v>248</v>
      </c>
      <c r="N2263" s="14">
        <v>0.28999999999999998</v>
      </c>
      <c r="O2263" s="12">
        <v>130</v>
      </c>
      <c r="P2263" s="12">
        <v>210</v>
      </c>
      <c r="Q2263" s="12">
        <v>14</v>
      </c>
      <c r="R2263" s="13" t="s">
        <v>82</v>
      </c>
      <c r="S2263" s="13"/>
      <c r="T2263" s="15">
        <v>4000</v>
      </c>
      <c r="U2263" s="13" t="s">
        <v>52</v>
      </c>
      <c r="V2263" s="13" t="s">
        <v>89</v>
      </c>
      <c r="W2263" s="12">
        <v>20</v>
      </c>
      <c r="X2263" s="33" t="str">
        <f>HYPERLINK("https://www.alpinabook.ru/catalog/book-deti-v-garazhe-moego-papy","ссылка на книгу")</f>
        <v>ссылка на книгу</v>
      </c>
      <c r="Y2263" s="34" t="str">
        <f>HYPERLINK("https://api-enni.alpina.ru/FilePrivilegesApproval/391","https://api-enni.alpina.ru/FilePrivilegesApproval/391")</f>
        <v>https://api-enni.alpina.ru/FilePrivilegesApproval/391</v>
      </c>
      <c r="Z2263" s="13"/>
      <c r="AT2263" s="1">
        <f t="shared" si="435"/>
        <v>0</v>
      </c>
      <c r="AU2263" s="1">
        <f t="shared" si="436"/>
        <v>0</v>
      </c>
      <c r="AV2263" s="1">
        <f t="shared" si="437"/>
        <v>0</v>
      </c>
      <c r="AW2263" s="1">
        <f t="shared" si="438"/>
        <v>0</v>
      </c>
      <c r="AX2263" s="1">
        <f t="shared" si="439"/>
        <v>0</v>
      </c>
    </row>
    <row r="2264" spans="1:50" s="1" customFormat="1" ht="24.95" customHeight="1" outlineLevel="3" x14ac:dyDescent="0.2">
      <c r="A2264" s="11"/>
      <c r="B2264" s="12">
        <v>320</v>
      </c>
      <c r="C2264" s="12">
        <v>540</v>
      </c>
      <c r="D2264" s="12">
        <v>27394</v>
      </c>
      <c r="E2264" s="13" t="s">
        <v>7301</v>
      </c>
      <c r="F2264" s="13" t="s">
        <v>7392</v>
      </c>
      <c r="G2264" s="13" t="s">
        <v>39</v>
      </c>
      <c r="H2264" s="13"/>
      <c r="I2264" s="12">
        <v>2025</v>
      </c>
      <c r="J2264" s="13" t="s">
        <v>7393</v>
      </c>
      <c r="K2264" s="12">
        <v>9785001399315</v>
      </c>
      <c r="L2264" s="13" t="s">
        <v>7394</v>
      </c>
      <c r="M2264" s="12">
        <v>192</v>
      </c>
      <c r="N2264" s="14">
        <v>0.13</v>
      </c>
      <c r="O2264" s="12">
        <v>120</v>
      </c>
      <c r="P2264" s="12">
        <v>170</v>
      </c>
      <c r="Q2264" s="12">
        <v>16</v>
      </c>
      <c r="R2264" s="13" t="s">
        <v>75</v>
      </c>
      <c r="S2264" s="13" t="s">
        <v>7186</v>
      </c>
      <c r="T2264" s="15">
        <v>2000</v>
      </c>
      <c r="U2264" s="13" t="s">
        <v>44</v>
      </c>
      <c r="V2264" s="13" t="s">
        <v>89</v>
      </c>
      <c r="W2264" s="12">
        <v>10</v>
      </c>
      <c r="X2264" s="33" t="str">
        <f>HYPERLINK("https://www.alpinabook.ru/catalog/book-dnevnik-neudachnika","ссылка на книгу")</f>
        <v>ссылка на книгу</v>
      </c>
      <c r="Y2264" s="34" t="str">
        <f>HYPERLINK("https://api-enni.alpina.ru/FilePrivilegesApproval/151","https://api-enni.alpina.ru/FilePrivilegesApproval/151")</f>
        <v>https://api-enni.alpina.ru/FilePrivilegesApproval/151</v>
      </c>
      <c r="Z2264" s="13" t="s">
        <v>70</v>
      </c>
      <c r="AT2264" s="1">
        <f t="shared" si="435"/>
        <v>0</v>
      </c>
      <c r="AU2264" s="1">
        <f t="shared" si="436"/>
        <v>0</v>
      </c>
      <c r="AV2264" s="1">
        <f t="shared" si="437"/>
        <v>0</v>
      </c>
      <c r="AW2264" s="1">
        <f t="shared" si="438"/>
        <v>0</v>
      </c>
      <c r="AX2264" s="1">
        <f t="shared" si="439"/>
        <v>0</v>
      </c>
    </row>
    <row r="2265" spans="1:50" s="1" customFormat="1" ht="24.95" customHeight="1" outlineLevel="3" x14ac:dyDescent="0.2">
      <c r="A2265" s="11"/>
      <c r="B2265" s="12">
        <v>640</v>
      </c>
      <c r="C2265" s="12">
        <v>940</v>
      </c>
      <c r="D2265" s="12">
        <v>29955</v>
      </c>
      <c r="E2265" s="13" t="s">
        <v>7395</v>
      </c>
      <c r="F2265" s="13" t="s">
        <v>7396</v>
      </c>
      <c r="G2265" s="13" t="s">
        <v>39</v>
      </c>
      <c r="H2265" s="13"/>
      <c r="I2265" s="12">
        <v>2024</v>
      </c>
      <c r="J2265" s="13" t="s">
        <v>7397</v>
      </c>
      <c r="K2265" s="12">
        <v>9785002233007</v>
      </c>
      <c r="L2265" s="13" t="s">
        <v>7398</v>
      </c>
      <c r="M2265" s="12">
        <v>384</v>
      </c>
      <c r="N2265" s="14">
        <v>0.36</v>
      </c>
      <c r="O2265" s="12">
        <v>130</v>
      </c>
      <c r="P2265" s="12">
        <v>210</v>
      </c>
      <c r="Q2265" s="12">
        <v>10</v>
      </c>
      <c r="R2265" s="13" t="s">
        <v>82</v>
      </c>
      <c r="S2265" s="13"/>
      <c r="T2265" s="15">
        <v>3000</v>
      </c>
      <c r="U2265" s="13" t="s">
        <v>52</v>
      </c>
      <c r="V2265" s="13" t="s">
        <v>45</v>
      </c>
      <c r="W2265" s="12">
        <v>10</v>
      </c>
      <c r="X2265" s="33" t="str">
        <f>HYPERLINK("https://www.alpinabook.ru/catalog/book-drugie-noty","ссылка на книгу")</f>
        <v>ссылка на книгу</v>
      </c>
      <c r="Y2265" s="34" t="str">
        <f>HYPERLINK("https://api-enni.alpina.ru/FilePrivilegesApproval/490","https://api-enni.alpina.ru/FilePrivilegesApproval/490")</f>
        <v>https://api-enni.alpina.ru/FilePrivilegesApproval/490</v>
      </c>
      <c r="Z2265" s="13"/>
      <c r="AT2265" s="1">
        <f t="shared" si="435"/>
        <v>0</v>
      </c>
      <c r="AU2265" s="1">
        <f t="shared" si="436"/>
        <v>0</v>
      </c>
      <c r="AV2265" s="1">
        <f t="shared" si="437"/>
        <v>0</v>
      </c>
      <c r="AW2265" s="1">
        <f t="shared" si="438"/>
        <v>0</v>
      </c>
      <c r="AX2265" s="1">
        <f t="shared" si="439"/>
        <v>0</v>
      </c>
    </row>
    <row r="2266" spans="1:50" s="1" customFormat="1" ht="24.95" customHeight="1" outlineLevel="3" x14ac:dyDescent="0.2">
      <c r="A2266" s="11"/>
      <c r="B2266" s="12">
        <v>540</v>
      </c>
      <c r="C2266" s="12">
        <v>640</v>
      </c>
      <c r="D2266" s="12">
        <v>23247</v>
      </c>
      <c r="E2266" s="13" t="s">
        <v>572</v>
      </c>
      <c r="F2266" s="13" t="s">
        <v>7399</v>
      </c>
      <c r="G2266" s="13" t="s">
        <v>39</v>
      </c>
      <c r="H2266" s="13"/>
      <c r="I2266" s="12">
        <v>2021</v>
      </c>
      <c r="J2266" s="13" t="s">
        <v>7400</v>
      </c>
      <c r="K2266" s="12">
        <v>9785001395546</v>
      </c>
      <c r="L2266" s="13" t="s">
        <v>7401</v>
      </c>
      <c r="M2266" s="12">
        <v>296</v>
      </c>
      <c r="N2266" s="14">
        <v>0.34</v>
      </c>
      <c r="O2266" s="12">
        <v>130</v>
      </c>
      <c r="P2266" s="12">
        <v>206</v>
      </c>
      <c r="Q2266" s="12">
        <v>12</v>
      </c>
      <c r="R2266" s="13" t="s">
        <v>82</v>
      </c>
      <c r="S2266" s="13"/>
      <c r="T2266" s="15">
        <v>3000</v>
      </c>
      <c r="U2266" s="13" t="s">
        <v>52</v>
      </c>
      <c r="V2266" s="13" t="s">
        <v>89</v>
      </c>
      <c r="W2266" s="12">
        <v>10</v>
      </c>
      <c r="X2266" s="33" t="str">
        <f>HYPERLINK("https://www.alpinabook.ru/catalog/book-drugoy","ссылка на книгу")</f>
        <v>ссылка на книгу</v>
      </c>
      <c r="Y2266" s="34" t="str">
        <f>HYPERLINK("https://api-enni.alpina.ru/FilePrivilegesApproval/149","https://api-enni.alpina.ru/FilePrivilegesApproval/149")</f>
        <v>https://api-enni.alpina.ru/FilePrivilegesApproval/149</v>
      </c>
      <c r="Z2266" s="13"/>
      <c r="AT2266" s="1">
        <f t="shared" si="435"/>
        <v>0</v>
      </c>
      <c r="AU2266" s="1">
        <f t="shared" si="436"/>
        <v>0</v>
      </c>
      <c r="AV2266" s="1">
        <f t="shared" si="437"/>
        <v>0</v>
      </c>
      <c r="AW2266" s="1">
        <f t="shared" si="438"/>
        <v>0</v>
      </c>
      <c r="AX2266" s="1">
        <f t="shared" si="439"/>
        <v>0</v>
      </c>
    </row>
    <row r="2267" spans="1:50" s="1" customFormat="1" ht="24.95" customHeight="1" outlineLevel="3" x14ac:dyDescent="0.2">
      <c r="A2267" s="11"/>
      <c r="B2267" s="12">
        <v>640</v>
      </c>
      <c r="C2267" s="12">
        <v>890</v>
      </c>
      <c r="D2267" s="12">
        <v>29961</v>
      </c>
      <c r="E2267" s="13" t="s">
        <v>7313</v>
      </c>
      <c r="F2267" s="13" t="s">
        <v>7402</v>
      </c>
      <c r="G2267" s="13" t="s">
        <v>39</v>
      </c>
      <c r="H2267" s="13"/>
      <c r="I2267" s="12">
        <v>2024</v>
      </c>
      <c r="J2267" s="13" t="s">
        <v>7403</v>
      </c>
      <c r="K2267" s="12">
        <v>9785002232185</v>
      </c>
      <c r="L2267" s="13" t="s">
        <v>7404</v>
      </c>
      <c r="M2267" s="12">
        <v>270</v>
      </c>
      <c r="N2267" s="14">
        <v>0.24</v>
      </c>
      <c r="O2267" s="12">
        <v>210</v>
      </c>
      <c r="P2267" s="12">
        <v>140</v>
      </c>
      <c r="Q2267" s="12">
        <v>16</v>
      </c>
      <c r="R2267" s="13" t="s">
        <v>43</v>
      </c>
      <c r="S2267" s="13"/>
      <c r="T2267" s="15">
        <v>2000</v>
      </c>
      <c r="U2267" s="13" t="s">
        <v>44</v>
      </c>
      <c r="V2267" s="13" t="s">
        <v>89</v>
      </c>
      <c r="W2267" s="12">
        <v>10</v>
      </c>
      <c r="X2267" s="33" t="str">
        <f>HYPERLINK("https://www.alpinabook.ru/catalog/book-ego-poslednie-dni","ссылка на книгу")</f>
        <v>ссылка на книгу</v>
      </c>
      <c r="Y2267" s="34" t="str">
        <f>HYPERLINK("https://api-enni.alpina.ru/FilePrivilegesApproval/171","https://api-enni.alpina.ru/FilePrivilegesApproval/171")</f>
        <v>https://api-enni.alpina.ru/FilePrivilegesApproval/171</v>
      </c>
      <c r="Z2267" s="13"/>
      <c r="AT2267" s="1">
        <f t="shared" si="435"/>
        <v>0</v>
      </c>
      <c r="AU2267" s="1">
        <f t="shared" si="436"/>
        <v>0</v>
      </c>
      <c r="AV2267" s="1">
        <f t="shared" si="437"/>
        <v>0</v>
      </c>
      <c r="AW2267" s="1">
        <f t="shared" si="438"/>
        <v>0</v>
      </c>
      <c r="AX2267" s="1">
        <f t="shared" si="439"/>
        <v>0</v>
      </c>
    </row>
    <row r="2268" spans="1:50" s="1" customFormat="1" ht="24.95" customHeight="1" outlineLevel="3" x14ac:dyDescent="0.2">
      <c r="A2268" s="11"/>
      <c r="B2268" s="12">
        <v>790</v>
      </c>
      <c r="C2268" s="15">
        <v>1090</v>
      </c>
      <c r="D2268" s="12">
        <v>29554</v>
      </c>
      <c r="E2268" s="13" t="s">
        <v>7405</v>
      </c>
      <c r="F2268" s="13" t="s">
        <v>7406</v>
      </c>
      <c r="G2268" s="13" t="s">
        <v>39</v>
      </c>
      <c r="H2268" s="13"/>
      <c r="I2268" s="12">
        <v>2025</v>
      </c>
      <c r="J2268" s="13" t="s">
        <v>7407</v>
      </c>
      <c r="K2268" s="12">
        <v>9785002231546</v>
      </c>
      <c r="L2268" s="13" t="s">
        <v>7408</v>
      </c>
      <c r="M2268" s="12">
        <v>612</v>
      </c>
      <c r="N2268" s="14">
        <v>0.69</v>
      </c>
      <c r="O2268" s="12">
        <v>150</v>
      </c>
      <c r="P2268" s="12">
        <v>220</v>
      </c>
      <c r="Q2268" s="12">
        <v>8</v>
      </c>
      <c r="R2268" s="13" t="s">
        <v>43</v>
      </c>
      <c r="S2268" s="13"/>
      <c r="T2268" s="15">
        <v>2000</v>
      </c>
      <c r="U2268" s="13" t="s">
        <v>52</v>
      </c>
      <c r="V2268" s="13" t="s">
        <v>89</v>
      </c>
      <c r="W2268" s="12">
        <v>10</v>
      </c>
      <c r="X2268" s="33" t="str">
        <f>HYPERLINK("https://www.alpinabook.ru/catalog/book-zahhok","ссылка на книгу")</f>
        <v>ссылка на книгу</v>
      </c>
      <c r="Y2268" s="34" t="str">
        <f>HYPERLINK("https://api-enni.alpina.ru/FilePrivilegesApproval/419","https://api-enni.alpina.ru/FilePrivilegesApproval/419")</f>
        <v>https://api-enni.alpina.ru/FilePrivilegesApproval/419</v>
      </c>
      <c r="Z2268" s="13" t="s">
        <v>1431</v>
      </c>
      <c r="AT2268" s="1">
        <f t="shared" si="435"/>
        <v>0</v>
      </c>
      <c r="AU2268" s="1">
        <f t="shared" si="436"/>
        <v>0</v>
      </c>
      <c r="AV2268" s="1">
        <f t="shared" si="437"/>
        <v>0</v>
      </c>
      <c r="AW2268" s="1">
        <f t="shared" si="438"/>
        <v>0</v>
      </c>
      <c r="AX2268" s="1">
        <f t="shared" si="439"/>
        <v>0</v>
      </c>
    </row>
    <row r="2269" spans="1:50" s="1" customFormat="1" ht="21.95" customHeight="1" outlineLevel="3" x14ac:dyDescent="0.2">
      <c r="A2269" s="11"/>
      <c r="B2269" s="12">
        <v>440</v>
      </c>
      <c r="C2269" s="12">
        <v>640</v>
      </c>
      <c r="D2269" s="12">
        <v>28296</v>
      </c>
      <c r="E2269" s="13" t="s">
        <v>7301</v>
      </c>
      <c r="F2269" s="13" t="s">
        <v>7409</v>
      </c>
      <c r="G2269" s="13" t="s">
        <v>39</v>
      </c>
      <c r="H2269" s="13"/>
      <c r="I2269" s="12">
        <v>2023</v>
      </c>
      <c r="J2269" s="13" t="s">
        <v>7410</v>
      </c>
      <c r="K2269" s="12">
        <v>9785002230037</v>
      </c>
      <c r="L2269" s="13" t="s">
        <v>7411</v>
      </c>
      <c r="M2269" s="12">
        <v>152</v>
      </c>
      <c r="N2269" s="14">
        <v>0.15</v>
      </c>
      <c r="O2269" s="12">
        <v>120</v>
      </c>
      <c r="P2269" s="12">
        <v>190</v>
      </c>
      <c r="Q2269" s="12">
        <v>20</v>
      </c>
      <c r="R2269" s="13" t="s">
        <v>82</v>
      </c>
      <c r="S2269" s="13"/>
      <c r="T2269" s="15">
        <v>2000</v>
      </c>
      <c r="U2269" s="13" t="s">
        <v>44</v>
      </c>
      <c r="V2269" s="13" t="s">
        <v>89</v>
      </c>
      <c r="W2269" s="12">
        <v>20</v>
      </c>
      <c r="X2269" s="33" t="str">
        <f>HYPERLINK("https://www.alpinabook.ru/catalog/book-zelyenoe-udostoverenie-episkopa","ссылка на книгу")</f>
        <v>ссылка на книгу</v>
      </c>
      <c r="Y2269" s="34" t="str">
        <f>HYPERLINK("","")</f>
        <v/>
      </c>
      <c r="Z2269" s="13"/>
      <c r="AT2269" s="1">
        <f t="shared" ref="AT2269:AT2300" si="440">IF($A2269&lt;&gt;0,1,0)</f>
        <v>0</v>
      </c>
      <c r="AU2269" s="1">
        <f t="shared" ref="AU2269:AU2300" si="441">$A2269*$B2269</f>
        <v>0</v>
      </c>
      <c r="AV2269" s="1">
        <f t="shared" ref="AV2269:AV2300" si="442">$A2269*$N2269</f>
        <v>0</v>
      </c>
      <c r="AW2269" s="1">
        <f t="shared" ref="AW2269:AW2300" si="443">IF($Q2269=0,0,INT($A2269/$Q2269))</f>
        <v>0</v>
      </c>
      <c r="AX2269" s="1">
        <f t="shared" ref="AX2269:AX2300" si="444">$A2269-$AW2269*$Q2269</f>
        <v>0</v>
      </c>
    </row>
    <row r="2270" spans="1:50" s="1" customFormat="1" ht="24.95" customHeight="1" outlineLevel="3" x14ac:dyDescent="0.2">
      <c r="A2270" s="11"/>
      <c r="B2270" s="15">
        <v>1090</v>
      </c>
      <c r="C2270" s="15">
        <v>1490</v>
      </c>
      <c r="D2270" s="12">
        <v>21197</v>
      </c>
      <c r="E2270" s="13" t="s">
        <v>339</v>
      </c>
      <c r="F2270" s="13" t="s">
        <v>7412</v>
      </c>
      <c r="G2270" s="13" t="s">
        <v>39</v>
      </c>
      <c r="H2270" s="13"/>
      <c r="I2270" s="12">
        <v>2024</v>
      </c>
      <c r="J2270" s="13" t="s">
        <v>7413</v>
      </c>
      <c r="K2270" s="12">
        <v>9785001395041</v>
      </c>
      <c r="L2270" s="13" t="s">
        <v>7414</v>
      </c>
      <c r="M2270" s="12">
        <v>708</v>
      </c>
      <c r="N2270" s="14">
        <v>0.8</v>
      </c>
      <c r="O2270" s="12">
        <v>140</v>
      </c>
      <c r="P2270" s="12">
        <v>210</v>
      </c>
      <c r="Q2270" s="12">
        <v>6</v>
      </c>
      <c r="R2270" s="13" t="s">
        <v>43</v>
      </c>
      <c r="S2270" s="13"/>
      <c r="T2270" s="15">
        <v>2000</v>
      </c>
      <c r="U2270" s="13" t="s">
        <v>52</v>
      </c>
      <c r="V2270" s="13" t="s">
        <v>89</v>
      </c>
      <c r="W2270" s="12">
        <v>10</v>
      </c>
      <c r="X2270" s="33" t="str">
        <f>HYPERLINK("https://www.alpinabook.ru/catalog/book-zoloto-bunta","ссылка на книгу")</f>
        <v>ссылка на книгу</v>
      </c>
      <c r="Y2270" s="34" t="str">
        <f>HYPERLINK("https://api-enni.alpina.ru/FilePrivilegesApproval/208","https://api-enni.alpina.ru/FilePrivilegesApproval/208")</f>
        <v>https://api-enni.alpina.ru/FilePrivilegesApproval/208</v>
      </c>
      <c r="Z2270" s="13"/>
      <c r="AT2270" s="1">
        <f t="shared" si="440"/>
        <v>0</v>
      </c>
      <c r="AU2270" s="1">
        <f t="shared" si="441"/>
        <v>0</v>
      </c>
      <c r="AV2270" s="1">
        <f t="shared" si="442"/>
        <v>0</v>
      </c>
      <c r="AW2270" s="1">
        <f t="shared" si="443"/>
        <v>0</v>
      </c>
      <c r="AX2270" s="1">
        <f t="shared" si="444"/>
        <v>0</v>
      </c>
    </row>
    <row r="2271" spans="1:50" s="1" customFormat="1" ht="24.95" customHeight="1" outlineLevel="3" x14ac:dyDescent="0.2">
      <c r="A2271" s="11"/>
      <c r="B2271" s="12">
        <v>540</v>
      </c>
      <c r="C2271" s="12">
        <v>740</v>
      </c>
      <c r="D2271" s="12">
        <v>28972</v>
      </c>
      <c r="E2271" s="13" t="s">
        <v>339</v>
      </c>
      <c r="F2271" s="13" t="s">
        <v>7415</v>
      </c>
      <c r="G2271" s="13" t="s">
        <v>39</v>
      </c>
      <c r="H2271" s="13"/>
      <c r="I2271" s="12">
        <v>2025</v>
      </c>
      <c r="J2271" s="13" t="s">
        <v>7416</v>
      </c>
      <c r="K2271" s="12">
        <v>9785002230914</v>
      </c>
      <c r="L2271" s="13" t="s">
        <v>7417</v>
      </c>
      <c r="M2271" s="12">
        <v>896</v>
      </c>
      <c r="N2271" s="14">
        <v>0.52</v>
      </c>
      <c r="O2271" s="12">
        <v>120</v>
      </c>
      <c r="P2271" s="12">
        <v>170</v>
      </c>
      <c r="Q2271" s="12">
        <v>6</v>
      </c>
      <c r="R2271" s="13" t="s">
        <v>75</v>
      </c>
      <c r="S2271" s="13" t="s">
        <v>7186</v>
      </c>
      <c r="T2271" s="15">
        <v>3000</v>
      </c>
      <c r="U2271" s="13" t="s">
        <v>44</v>
      </c>
      <c r="V2271" s="13" t="s">
        <v>89</v>
      </c>
      <c r="W2271" s="12">
        <v>10</v>
      </c>
      <c r="X2271" s="33" t="str">
        <f>HYPERLINK("https://www.alpinabook.ru/catalog/book-zoloto-bunta","ссылка на книгу")</f>
        <v>ссылка на книгу</v>
      </c>
      <c r="Y2271" s="34" t="str">
        <f>HYPERLINK("https://api-enni.alpina.ru/FilePrivilegesApproval/208","https://api-enni.alpina.ru/FilePrivilegesApproval/208")</f>
        <v>https://api-enni.alpina.ru/FilePrivilegesApproval/208</v>
      </c>
      <c r="Z2271" s="13" t="s">
        <v>865</v>
      </c>
      <c r="AT2271" s="1">
        <f t="shared" si="440"/>
        <v>0</v>
      </c>
      <c r="AU2271" s="1">
        <f t="shared" si="441"/>
        <v>0</v>
      </c>
      <c r="AV2271" s="1">
        <f t="shared" si="442"/>
        <v>0</v>
      </c>
      <c r="AW2271" s="1">
        <f t="shared" si="443"/>
        <v>0</v>
      </c>
      <c r="AX2271" s="1">
        <f t="shared" si="444"/>
        <v>0</v>
      </c>
    </row>
    <row r="2272" spans="1:50" s="1" customFormat="1" ht="21.95" customHeight="1" outlineLevel="3" x14ac:dyDescent="0.2">
      <c r="A2272" s="11"/>
      <c r="B2272" s="12">
        <v>720</v>
      </c>
      <c r="C2272" s="12">
        <v>990</v>
      </c>
      <c r="D2272" s="12">
        <v>30637</v>
      </c>
      <c r="E2272" s="13" t="s">
        <v>7342</v>
      </c>
      <c r="F2272" s="13" t="s">
        <v>7418</v>
      </c>
      <c r="G2272" s="13" t="s">
        <v>39</v>
      </c>
      <c r="H2272" s="13"/>
      <c r="I2272" s="12">
        <v>2024</v>
      </c>
      <c r="J2272" s="13" t="s">
        <v>7419</v>
      </c>
      <c r="K2272" s="12">
        <v>9785002232703</v>
      </c>
      <c r="L2272" s="13" t="s">
        <v>7420</v>
      </c>
      <c r="M2272" s="12">
        <v>492</v>
      </c>
      <c r="N2272" s="14">
        <v>0.54</v>
      </c>
      <c r="O2272" s="12">
        <v>150</v>
      </c>
      <c r="P2272" s="12">
        <v>220</v>
      </c>
      <c r="Q2272" s="12">
        <v>10</v>
      </c>
      <c r="R2272" s="13" t="s">
        <v>43</v>
      </c>
      <c r="S2272" s="13"/>
      <c r="T2272" s="15">
        <v>2500</v>
      </c>
      <c r="U2272" s="13" t="s">
        <v>52</v>
      </c>
      <c r="V2272" s="13" t="s">
        <v>89</v>
      </c>
      <c r="W2272" s="12">
        <v>20</v>
      </c>
      <c r="X2272" s="33" t="str">
        <f>HYPERLINK("https://www.alpinabook.ru/catalog/book-inspektsiya-chislo-revekki","ссылка на книгу")</f>
        <v>ссылка на книгу</v>
      </c>
      <c r="Y2272" s="34" t="str">
        <f>HYPERLINK("","")</f>
        <v/>
      </c>
      <c r="Z2272" s="13"/>
      <c r="AT2272" s="1">
        <f t="shared" si="440"/>
        <v>0</v>
      </c>
      <c r="AU2272" s="1">
        <f t="shared" si="441"/>
        <v>0</v>
      </c>
      <c r="AV2272" s="1">
        <f t="shared" si="442"/>
        <v>0</v>
      </c>
      <c r="AW2272" s="1">
        <f t="shared" si="443"/>
        <v>0</v>
      </c>
      <c r="AX2272" s="1">
        <f t="shared" si="444"/>
        <v>0</v>
      </c>
    </row>
    <row r="2273" spans="1:50" s="1" customFormat="1" ht="24.95" customHeight="1" outlineLevel="3" x14ac:dyDescent="0.2">
      <c r="A2273" s="11"/>
      <c r="B2273" s="12">
        <v>640</v>
      </c>
      <c r="C2273" s="12">
        <v>640</v>
      </c>
      <c r="D2273" s="12">
        <v>23268</v>
      </c>
      <c r="E2273" s="13" t="s">
        <v>7421</v>
      </c>
      <c r="F2273" s="13" t="s">
        <v>7422</v>
      </c>
      <c r="G2273" s="13" t="s">
        <v>39</v>
      </c>
      <c r="H2273" s="13"/>
      <c r="I2273" s="12">
        <v>2021</v>
      </c>
      <c r="J2273" s="13" t="s">
        <v>7423</v>
      </c>
      <c r="K2273" s="12">
        <v>9785001395188</v>
      </c>
      <c r="L2273" s="13" t="s">
        <v>7424</v>
      </c>
      <c r="M2273" s="12">
        <v>312</v>
      </c>
      <c r="N2273" s="14">
        <v>0.48</v>
      </c>
      <c r="O2273" s="12">
        <v>146</v>
      </c>
      <c r="P2273" s="12">
        <v>216</v>
      </c>
      <c r="Q2273" s="12">
        <v>10</v>
      </c>
      <c r="R2273" s="13" t="s">
        <v>43</v>
      </c>
      <c r="S2273" s="13"/>
      <c r="T2273" s="15">
        <v>3000</v>
      </c>
      <c r="U2273" s="13" t="s">
        <v>52</v>
      </c>
      <c r="V2273" s="13" t="s">
        <v>89</v>
      </c>
      <c r="W2273" s="12">
        <v>10</v>
      </c>
      <c r="X2273" s="33" t="str">
        <f>HYPERLINK("https://www.alpinabook.ru/catalog/book-islandiya","ссылка на книгу")</f>
        <v>ссылка на книгу</v>
      </c>
      <c r="Y2273" s="34" t="str">
        <f>HYPERLINK("https://api-enni.alpina.ru/FilePrivilegesApproval/149","https://api-enni.alpina.ru/FilePrivilegesApproval/149")</f>
        <v>https://api-enni.alpina.ru/FilePrivilegesApproval/149</v>
      </c>
      <c r="Z2273" s="13"/>
      <c r="AT2273" s="1">
        <f t="shared" si="440"/>
        <v>0</v>
      </c>
      <c r="AU2273" s="1">
        <f t="shared" si="441"/>
        <v>0</v>
      </c>
      <c r="AV2273" s="1">
        <f t="shared" si="442"/>
        <v>0</v>
      </c>
      <c r="AW2273" s="1">
        <f t="shared" si="443"/>
        <v>0</v>
      </c>
      <c r="AX2273" s="1">
        <f t="shared" si="444"/>
        <v>0</v>
      </c>
    </row>
    <row r="2274" spans="1:50" s="1" customFormat="1" ht="21.95" customHeight="1" outlineLevel="3" x14ac:dyDescent="0.2">
      <c r="A2274" s="11"/>
      <c r="B2274" s="12">
        <v>720</v>
      </c>
      <c r="C2274" s="15">
        <v>1090</v>
      </c>
      <c r="D2274" s="12">
        <v>31718</v>
      </c>
      <c r="E2274" s="13" t="s">
        <v>7342</v>
      </c>
      <c r="F2274" s="13" t="s">
        <v>7425</v>
      </c>
      <c r="G2274" s="13" t="s">
        <v>39</v>
      </c>
      <c r="H2274" s="13"/>
      <c r="I2274" s="12">
        <v>2025</v>
      </c>
      <c r="J2274" s="13" t="s">
        <v>7426</v>
      </c>
      <c r="K2274" s="12">
        <v>9785002234110</v>
      </c>
      <c r="L2274" s="13" t="s">
        <v>7427</v>
      </c>
      <c r="M2274" s="12">
        <v>276</v>
      </c>
      <c r="N2274" s="14">
        <v>0.33</v>
      </c>
      <c r="O2274" s="12">
        <v>150</v>
      </c>
      <c r="P2274" s="12">
        <v>220</v>
      </c>
      <c r="Q2274" s="12">
        <v>12</v>
      </c>
      <c r="R2274" s="13" t="s">
        <v>43</v>
      </c>
      <c r="S2274" s="13"/>
      <c r="T2274" s="15">
        <v>2000</v>
      </c>
      <c r="U2274" s="13" t="s">
        <v>52</v>
      </c>
      <c r="V2274" s="13" t="s">
        <v>89</v>
      </c>
      <c r="W2274" s="12">
        <v>20</v>
      </c>
      <c r="X2274" s="33" t="str">
        <f>HYPERLINK("https://www.alpinabook.ru/catalog/book-iskhod","ссылка на книгу")</f>
        <v>ссылка на книгу</v>
      </c>
      <c r="Y2274" s="34" t="str">
        <f>HYPERLINK("","")</f>
        <v/>
      </c>
      <c r="Z2274" s="13"/>
      <c r="AT2274" s="1">
        <f t="shared" si="440"/>
        <v>0</v>
      </c>
      <c r="AU2274" s="1">
        <f t="shared" si="441"/>
        <v>0</v>
      </c>
      <c r="AV2274" s="1">
        <f t="shared" si="442"/>
        <v>0</v>
      </c>
      <c r="AW2274" s="1">
        <f t="shared" si="443"/>
        <v>0</v>
      </c>
      <c r="AX2274" s="1">
        <f t="shared" si="444"/>
        <v>0</v>
      </c>
    </row>
    <row r="2275" spans="1:50" s="1" customFormat="1" ht="24.95" customHeight="1" outlineLevel="3" x14ac:dyDescent="0.2">
      <c r="A2275" s="11"/>
      <c r="B2275" s="12">
        <v>620</v>
      </c>
      <c r="C2275" s="12">
        <v>890</v>
      </c>
      <c r="D2275" s="12">
        <v>31900</v>
      </c>
      <c r="E2275" s="13" t="s">
        <v>110</v>
      </c>
      <c r="F2275" s="13" t="s">
        <v>111</v>
      </c>
      <c r="G2275" s="13" t="s">
        <v>39</v>
      </c>
      <c r="H2275" s="13"/>
      <c r="I2275" s="12">
        <v>2025</v>
      </c>
      <c r="J2275" s="13" t="s">
        <v>112</v>
      </c>
      <c r="K2275" s="12">
        <v>9785002234417</v>
      </c>
      <c r="L2275" s="13" t="s">
        <v>113</v>
      </c>
      <c r="M2275" s="12">
        <v>304</v>
      </c>
      <c r="N2275" s="14">
        <v>0.3</v>
      </c>
      <c r="O2275" s="12">
        <v>130</v>
      </c>
      <c r="P2275" s="12">
        <v>210</v>
      </c>
      <c r="Q2275" s="12">
        <v>12</v>
      </c>
      <c r="R2275" s="13" t="s">
        <v>82</v>
      </c>
      <c r="S2275" s="13"/>
      <c r="T2275" s="15">
        <v>1500</v>
      </c>
      <c r="U2275" s="13" t="s">
        <v>52</v>
      </c>
      <c r="V2275" s="13" t="s">
        <v>59</v>
      </c>
      <c r="W2275" s="12">
        <v>10</v>
      </c>
      <c r="X2275" s="33" t="str">
        <f>HYPERLINK("https://www.alpinabook.ru/catalog/book-kalliopa-derevo-korisk","ссылка на книгу")</f>
        <v>ссылка на книгу</v>
      </c>
      <c r="Y2275" s="34" t="str">
        <f>HYPERLINK("https://api-enni.alpina.ru/FilePrivilegesApproval/861","https://api-enni.alpina.ru/FilePrivilegesApproval/861")</f>
        <v>https://api-enni.alpina.ru/FilePrivilegesApproval/861</v>
      </c>
      <c r="Z2275" s="13" t="s">
        <v>77</v>
      </c>
      <c r="AT2275" s="1">
        <f t="shared" si="440"/>
        <v>0</v>
      </c>
      <c r="AU2275" s="1">
        <f t="shared" si="441"/>
        <v>0</v>
      </c>
      <c r="AV2275" s="1">
        <f t="shared" si="442"/>
        <v>0</v>
      </c>
      <c r="AW2275" s="1">
        <f t="shared" si="443"/>
        <v>0</v>
      </c>
      <c r="AX2275" s="1">
        <f t="shared" si="444"/>
        <v>0</v>
      </c>
    </row>
    <row r="2276" spans="1:50" s="1" customFormat="1" ht="24.95" customHeight="1" outlineLevel="3" x14ac:dyDescent="0.2">
      <c r="A2276" s="11"/>
      <c r="B2276" s="12">
        <v>630</v>
      </c>
      <c r="C2276" s="12">
        <v>890</v>
      </c>
      <c r="D2276" s="12">
        <v>33603</v>
      </c>
      <c r="E2276" s="13" t="s">
        <v>114</v>
      </c>
      <c r="F2276" s="13" t="s">
        <v>115</v>
      </c>
      <c r="G2276" s="13" t="s">
        <v>39</v>
      </c>
      <c r="H2276" s="13"/>
      <c r="I2276" s="12">
        <v>2025</v>
      </c>
      <c r="J2276" s="13" t="s">
        <v>116</v>
      </c>
      <c r="K2276" s="12">
        <v>9785002235810</v>
      </c>
      <c r="L2276" s="13" t="s">
        <v>117</v>
      </c>
      <c r="M2276" s="12">
        <v>400</v>
      </c>
      <c r="N2276" s="14">
        <v>0.35</v>
      </c>
      <c r="O2276" s="12">
        <v>140</v>
      </c>
      <c r="P2276" s="12">
        <v>210</v>
      </c>
      <c r="Q2276" s="12">
        <v>4</v>
      </c>
      <c r="R2276" s="13" t="s">
        <v>43</v>
      </c>
      <c r="S2276" s="13"/>
      <c r="T2276" s="15">
        <v>1000</v>
      </c>
      <c r="U2276" s="13" t="s">
        <v>44</v>
      </c>
      <c r="V2276" s="13" t="s">
        <v>89</v>
      </c>
      <c r="W2276" s="12">
        <v>10</v>
      </c>
      <c r="X2276" s="33" t="str">
        <f>HYPERLINK("https://www.alpinabook.ru/catalog/book-kamennye-klyeny","ссылка на книгу")</f>
        <v>ссылка на книгу</v>
      </c>
      <c r="Y2276" s="34" t="str">
        <f>HYPERLINK("https://api-enni.alpina.ru/FilePrivilegesApproval/359","https://api-enni.alpina.ru/FilePrivilegesApproval/359")</f>
        <v>https://api-enni.alpina.ru/FilePrivilegesApproval/359</v>
      </c>
      <c r="Z2276" s="13" t="s">
        <v>118</v>
      </c>
      <c r="AT2276" s="1">
        <f t="shared" si="440"/>
        <v>0</v>
      </c>
      <c r="AU2276" s="1">
        <f t="shared" si="441"/>
        <v>0</v>
      </c>
      <c r="AV2276" s="1">
        <f t="shared" si="442"/>
        <v>0</v>
      </c>
      <c r="AW2276" s="1">
        <f t="shared" si="443"/>
        <v>0</v>
      </c>
      <c r="AX2276" s="1">
        <f t="shared" si="444"/>
        <v>0</v>
      </c>
    </row>
    <row r="2277" spans="1:50" s="1" customFormat="1" ht="24.95" customHeight="1" outlineLevel="3" x14ac:dyDescent="0.2">
      <c r="A2277" s="11"/>
      <c r="B2277" s="12">
        <v>540</v>
      </c>
      <c r="C2277" s="12">
        <v>790</v>
      </c>
      <c r="D2277" s="12">
        <v>27974</v>
      </c>
      <c r="E2277" s="13" t="s">
        <v>7428</v>
      </c>
      <c r="F2277" s="13" t="s">
        <v>7429</v>
      </c>
      <c r="G2277" s="13" t="s">
        <v>39</v>
      </c>
      <c r="H2277" s="13"/>
      <c r="I2277" s="12">
        <v>2024</v>
      </c>
      <c r="J2277" s="13" t="s">
        <v>7430</v>
      </c>
      <c r="K2277" s="12">
        <v>9785001399834</v>
      </c>
      <c r="L2277" s="13" t="s">
        <v>7431</v>
      </c>
      <c r="M2277" s="12">
        <v>280</v>
      </c>
      <c r="N2277" s="14">
        <v>0.31</v>
      </c>
      <c r="O2277" s="12">
        <v>210</v>
      </c>
      <c r="P2277" s="12">
        <v>130</v>
      </c>
      <c r="Q2277" s="12">
        <v>10</v>
      </c>
      <c r="R2277" s="13" t="s">
        <v>82</v>
      </c>
      <c r="S2277" s="13"/>
      <c r="T2277" s="15">
        <v>2000</v>
      </c>
      <c r="U2277" s="13" t="s">
        <v>52</v>
      </c>
      <c r="V2277" s="13" t="s">
        <v>89</v>
      </c>
      <c r="W2277" s="12">
        <v>10</v>
      </c>
      <c r="X2277" s="33" t="str">
        <f>HYPERLINK("https://www.alpinabook.ru/catalog/book-kamni-poyut","ссылка на книгу")</f>
        <v>ссылка на книгу</v>
      </c>
      <c r="Y2277" s="34" t="str">
        <f>HYPERLINK("https://api-enni.alpina.ru/FilePrivilegesApproval/354","https://api-enni.alpina.ru/FilePrivilegesApproval/354")</f>
        <v>https://api-enni.alpina.ru/FilePrivilegesApproval/354</v>
      </c>
      <c r="Z2277" s="13"/>
      <c r="AT2277" s="1">
        <f t="shared" si="440"/>
        <v>0</v>
      </c>
      <c r="AU2277" s="1">
        <f t="shared" si="441"/>
        <v>0</v>
      </c>
      <c r="AV2277" s="1">
        <f t="shared" si="442"/>
        <v>0</v>
      </c>
      <c r="AW2277" s="1">
        <f t="shared" si="443"/>
        <v>0</v>
      </c>
      <c r="AX2277" s="1">
        <f t="shared" si="444"/>
        <v>0</v>
      </c>
    </row>
    <row r="2278" spans="1:50" s="1" customFormat="1" ht="24.95" customHeight="1" outlineLevel="3" x14ac:dyDescent="0.2">
      <c r="A2278" s="26"/>
      <c r="B2278" s="27">
        <v>690</v>
      </c>
      <c r="C2278" s="27">
        <v>940</v>
      </c>
      <c r="D2278" s="27">
        <v>30860</v>
      </c>
      <c r="E2278" s="29" t="s">
        <v>114</v>
      </c>
      <c r="F2278" s="29" t="s">
        <v>7432</v>
      </c>
      <c r="G2278" s="29" t="s">
        <v>39</v>
      </c>
      <c r="H2278" s="29"/>
      <c r="I2278" s="27">
        <v>2024</v>
      </c>
      <c r="J2278" s="29" t="s">
        <v>7433</v>
      </c>
      <c r="K2278" s="27">
        <v>9785002233021</v>
      </c>
      <c r="L2278" s="29" t="s">
        <v>7434</v>
      </c>
      <c r="M2278" s="27">
        <v>424</v>
      </c>
      <c r="N2278" s="30">
        <v>0.37</v>
      </c>
      <c r="O2278" s="27">
        <v>140</v>
      </c>
      <c r="P2278" s="27">
        <v>210</v>
      </c>
      <c r="Q2278" s="27">
        <v>4</v>
      </c>
      <c r="R2278" s="29" t="s">
        <v>43</v>
      </c>
      <c r="S2278" s="29"/>
      <c r="T2278" s="28">
        <v>1000</v>
      </c>
      <c r="U2278" s="29" t="s">
        <v>44</v>
      </c>
      <c r="V2278" s="29" t="s">
        <v>89</v>
      </c>
      <c r="W2278" s="27">
        <v>10</v>
      </c>
      <c r="X2278" s="37" t="str">
        <f>HYPERLINK("https://www.alpinabook.ru/catalog/book-kartakhena","ссылка на книгу")</f>
        <v>ссылка на книгу</v>
      </c>
      <c r="Y2278" s="38" t="str">
        <f>HYPERLINK("https://api-enni.alpina.ru/FilePrivilegesApproval/179","https://api-enni.alpina.ru/FilePrivilegesApproval/179")</f>
        <v>https://api-enni.alpina.ru/FilePrivilegesApproval/179</v>
      </c>
      <c r="Z2278" s="29"/>
      <c r="AT2278" s="1">
        <f t="shared" si="440"/>
        <v>0</v>
      </c>
      <c r="AU2278" s="1">
        <f t="shared" si="441"/>
        <v>0</v>
      </c>
      <c r="AV2278" s="1">
        <f t="shared" si="442"/>
        <v>0</v>
      </c>
      <c r="AW2278" s="1">
        <f t="shared" si="443"/>
        <v>0</v>
      </c>
      <c r="AX2278" s="1">
        <f t="shared" si="444"/>
        <v>0</v>
      </c>
    </row>
    <row r="2279" spans="1:50" s="1" customFormat="1" ht="24.95" customHeight="1" outlineLevel="3" x14ac:dyDescent="0.2">
      <c r="A2279" s="11"/>
      <c r="B2279" s="12">
        <v>480</v>
      </c>
      <c r="C2279" s="12">
        <v>740</v>
      </c>
      <c r="D2279" s="12">
        <v>27972</v>
      </c>
      <c r="E2279" s="13" t="s">
        <v>7313</v>
      </c>
      <c r="F2279" s="13" t="s">
        <v>7435</v>
      </c>
      <c r="G2279" s="13" t="s">
        <v>39</v>
      </c>
      <c r="H2279" s="13"/>
      <c r="I2279" s="12">
        <v>2024</v>
      </c>
      <c r="J2279" s="13" t="s">
        <v>7436</v>
      </c>
      <c r="K2279" s="12">
        <v>9785001399827</v>
      </c>
      <c r="L2279" s="13" t="s">
        <v>7437</v>
      </c>
      <c r="M2279" s="12">
        <v>296</v>
      </c>
      <c r="N2279" s="14">
        <v>0.36</v>
      </c>
      <c r="O2279" s="12">
        <v>140</v>
      </c>
      <c r="P2279" s="12">
        <v>210</v>
      </c>
      <c r="Q2279" s="12">
        <v>16</v>
      </c>
      <c r="R2279" s="13" t="s">
        <v>43</v>
      </c>
      <c r="S2279" s="13"/>
      <c r="T2279" s="15">
        <v>2500</v>
      </c>
      <c r="U2279" s="13" t="s">
        <v>44</v>
      </c>
      <c r="V2279" s="13" t="s">
        <v>89</v>
      </c>
      <c r="W2279" s="12">
        <v>10</v>
      </c>
      <c r="X2279" s="33" t="str">
        <f>HYPERLINK("https://www.alpinabook.ru/catalog/book-kartina-sarkhana","ссылка на книгу")</f>
        <v>ссылка на книгу</v>
      </c>
      <c r="Y2279" s="34" t="str">
        <f>HYPERLINK("https://api-enni.alpina.ru/FilePrivilegesApproval/364","https://api-enni.alpina.ru/FilePrivilegesApproval/364")</f>
        <v>https://api-enni.alpina.ru/FilePrivilegesApproval/364</v>
      </c>
      <c r="Z2279" s="13"/>
      <c r="AT2279" s="1">
        <f t="shared" si="440"/>
        <v>0</v>
      </c>
      <c r="AU2279" s="1">
        <f t="shared" si="441"/>
        <v>0</v>
      </c>
      <c r="AV2279" s="1">
        <f t="shared" si="442"/>
        <v>0</v>
      </c>
      <c r="AW2279" s="1">
        <f t="shared" si="443"/>
        <v>0</v>
      </c>
      <c r="AX2279" s="1">
        <f t="shared" si="444"/>
        <v>0</v>
      </c>
    </row>
    <row r="2280" spans="1:50" s="1" customFormat="1" ht="21.95" customHeight="1" outlineLevel="3" x14ac:dyDescent="0.2">
      <c r="A2280" s="11"/>
      <c r="B2280" s="12">
        <v>590</v>
      </c>
      <c r="C2280" s="12">
        <v>840</v>
      </c>
      <c r="D2280" s="12">
        <v>31050</v>
      </c>
      <c r="E2280" s="13" t="s">
        <v>7438</v>
      </c>
      <c r="F2280" s="13" t="s">
        <v>7439</v>
      </c>
      <c r="G2280" s="13" t="s">
        <v>39</v>
      </c>
      <c r="H2280" s="13"/>
      <c r="I2280" s="12">
        <v>2025</v>
      </c>
      <c r="J2280" s="13" t="s">
        <v>7440</v>
      </c>
      <c r="K2280" s="12">
        <v>9785002233243</v>
      </c>
      <c r="L2280" s="13" t="s">
        <v>7441</v>
      </c>
      <c r="M2280" s="12">
        <v>414</v>
      </c>
      <c r="N2280" s="14">
        <v>0.38</v>
      </c>
      <c r="O2280" s="12">
        <v>130</v>
      </c>
      <c r="P2280" s="12">
        <v>210</v>
      </c>
      <c r="Q2280" s="12">
        <v>8</v>
      </c>
      <c r="R2280" s="13" t="s">
        <v>82</v>
      </c>
      <c r="S2280" s="13"/>
      <c r="T2280" s="15">
        <v>2000</v>
      </c>
      <c r="U2280" s="13" t="s">
        <v>52</v>
      </c>
      <c r="V2280" s="13" t="s">
        <v>89</v>
      </c>
      <c r="W2280" s="12">
        <v>20</v>
      </c>
      <c r="X2280" s="33" t="str">
        <f>HYPERLINK("https://www.alpinabook.ru/catalog/book-klaster","ссылка на книгу")</f>
        <v>ссылка на книгу</v>
      </c>
      <c r="Y2280" s="34" t="str">
        <f>HYPERLINK("","")</f>
        <v/>
      </c>
      <c r="Z2280" s="13"/>
      <c r="AT2280" s="1">
        <f t="shared" si="440"/>
        <v>0</v>
      </c>
      <c r="AU2280" s="1">
        <f t="shared" si="441"/>
        <v>0</v>
      </c>
      <c r="AV2280" s="1">
        <f t="shared" si="442"/>
        <v>0</v>
      </c>
      <c r="AW2280" s="1">
        <f t="shared" si="443"/>
        <v>0</v>
      </c>
      <c r="AX2280" s="1">
        <f t="shared" si="444"/>
        <v>0</v>
      </c>
    </row>
    <row r="2281" spans="1:50" s="1" customFormat="1" ht="24.95" customHeight="1" outlineLevel="3" x14ac:dyDescent="0.2">
      <c r="A2281" s="11"/>
      <c r="B2281" s="12">
        <v>590</v>
      </c>
      <c r="C2281" s="12">
        <v>890</v>
      </c>
      <c r="D2281" s="12">
        <v>25018</v>
      </c>
      <c r="E2281" s="13" t="s">
        <v>7301</v>
      </c>
      <c r="F2281" s="13" t="s">
        <v>7442</v>
      </c>
      <c r="G2281" s="13" t="s">
        <v>39</v>
      </c>
      <c r="H2281" s="13"/>
      <c r="I2281" s="12">
        <v>2022</v>
      </c>
      <c r="J2281" s="13" t="s">
        <v>7443</v>
      </c>
      <c r="K2281" s="12">
        <v>9785001396277</v>
      </c>
      <c r="L2281" s="13" t="s">
        <v>7444</v>
      </c>
      <c r="M2281" s="12">
        <v>248</v>
      </c>
      <c r="N2281" s="14">
        <v>0.4</v>
      </c>
      <c r="O2281" s="12">
        <v>146</v>
      </c>
      <c r="P2281" s="12">
        <v>216</v>
      </c>
      <c r="Q2281" s="12">
        <v>14</v>
      </c>
      <c r="R2281" s="13" t="s">
        <v>43</v>
      </c>
      <c r="S2281" s="13"/>
      <c r="T2281" s="15">
        <v>1500</v>
      </c>
      <c r="U2281" s="13" t="s">
        <v>52</v>
      </c>
      <c r="V2281" s="13" t="s">
        <v>89</v>
      </c>
      <c r="W2281" s="12">
        <v>10</v>
      </c>
      <c r="X2281" s="33" t="str">
        <f>HYPERLINK("https://www.alpinabook.ru/catalog/book-kniga-vody","ссылка на книгу")</f>
        <v>ссылка на книгу</v>
      </c>
      <c r="Y2281" s="34" t="str">
        <f>HYPERLINK("https://api-enni.alpina.ru/FilePrivilegesApproval/179","https://api-enni.alpina.ru/FilePrivilegesApproval/179")</f>
        <v>https://api-enni.alpina.ru/FilePrivilegesApproval/179</v>
      </c>
      <c r="Z2281" s="13"/>
      <c r="AT2281" s="1">
        <f t="shared" si="440"/>
        <v>0</v>
      </c>
      <c r="AU2281" s="1">
        <f t="shared" si="441"/>
        <v>0</v>
      </c>
      <c r="AV2281" s="1">
        <f t="shared" si="442"/>
        <v>0</v>
      </c>
      <c r="AW2281" s="1">
        <f t="shared" si="443"/>
        <v>0</v>
      </c>
      <c r="AX2281" s="1">
        <f t="shared" si="444"/>
        <v>0</v>
      </c>
    </row>
    <row r="2282" spans="1:50" s="1" customFormat="1" ht="21.95" customHeight="1" outlineLevel="3" x14ac:dyDescent="0.2">
      <c r="A2282" s="11"/>
      <c r="B2282" s="12">
        <v>540</v>
      </c>
      <c r="C2282" s="12">
        <v>990</v>
      </c>
      <c r="D2282" s="12">
        <v>27332</v>
      </c>
      <c r="E2282" s="13" t="s">
        <v>7301</v>
      </c>
      <c r="F2282" s="13" t="s">
        <v>7445</v>
      </c>
      <c r="G2282" s="13" t="s">
        <v>39</v>
      </c>
      <c r="H2282" s="13"/>
      <c r="I2282" s="12">
        <v>2023</v>
      </c>
      <c r="J2282" s="13" t="s">
        <v>7446</v>
      </c>
      <c r="K2282" s="12">
        <v>9785001399155</v>
      </c>
      <c r="L2282" s="13" t="s">
        <v>7447</v>
      </c>
      <c r="M2282" s="12">
        <v>320</v>
      </c>
      <c r="N2282" s="14">
        <v>0.4</v>
      </c>
      <c r="O2282" s="12">
        <v>150</v>
      </c>
      <c r="P2282" s="12">
        <v>220</v>
      </c>
      <c r="Q2282" s="12">
        <v>12</v>
      </c>
      <c r="R2282" s="13" t="s">
        <v>43</v>
      </c>
      <c r="S2282" s="13"/>
      <c r="T2282" s="15">
        <v>2500</v>
      </c>
      <c r="U2282" s="13" t="s">
        <v>52</v>
      </c>
      <c r="V2282" s="13" t="s">
        <v>89</v>
      </c>
      <c r="W2282" s="12">
        <v>20</v>
      </c>
      <c r="X2282" s="33" t="str">
        <f>HYPERLINK("https://www.alpinabook.ru/catalog/book-kniga-myertvykh-2-nekrologi","ссылка на книгу")</f>
        <v>ссылка на книгу</v>
      </c>
      <c r="Y2282" s="34" t="str">
        <f>HYPERLINK("","")</f>
        <v/>
      </c>
      <c r="Z2282" s="13"/>
      <c r="AT2282" s="1">
        <f t="shared" si="440"/>
        <v>0</v>
      </c>
      <c r="AU2282" s="1">
        <f t="shared" si="441"/>
        <v>0</v>
      </c>
      <c r="AV2282" s="1">
        <f t="shared" si="442"/>
        <v>0</v>
      </c>
      <c r="AW2282" s="1">
        <f t="shared" si="443"/>
        <v>0</v>
      </c>
      <c r="AX2282" s="1">
        <f t="shared" si="444"/>
        <v>0</v>
      </c>
    </row>
    <row r="2283" spans="1:50" s="1" customFormat="1" ht="24.95" customHeight="1" outlineLevel="3" x14ac:dyDescent="0.2">
      <c r="A2283" s="11"/>
      <c r="B2283" s="12">
        <v>490</v>
      </c>
      <c r="C2283" s="12">
        <v>740</v>
      </c>
      <c r="D2283" s="12">
        <v>28826</v>
      </c>
      <c r="E2283" s="13" t="s">
        <v>7448</v>
      </c>
      <c r="F2283" s="13" t="s">
        <v>7449</v>
      </c>
      <c r="G2283" s="13" t="s">
        <v>39</v>
      </c>
      <c r="H2283" s="13"/>
      <c r="I2283" s="12">
        <v>2025</v>
      </c>
      <c r="J2283" s="13" t="s">
        <v>7450</v>
      </c>
      <c r="K2283" s="12">
        <v>9785002230600</v>
      </c>
      <c r="L2283" s="13" t="s">
        <v>7451</v>
      </c>
      <c r="M2283" s="12">
        <v>256</v>
      </c>
      <c r="N2283" s="14">
        <v>0.24</v>
      </c>
      <c r="O2283" s="12">
        <v>140</v>
      </c>
      <c r="P2283" s="12">
        <v>200</v>
      </c>
      <c r="Q2283" s="12">
        <v>12</v>
      </c>
      <c r="R2283" s="13" t="s">
        <v>43</v>
      </c>
      <c r="S2283" s="13"/>
      <c r="T2283" s="15">
        <v>2000</v>
      </c>
      <c r="U2283" s="13" t="s">
        <v>44</v>
      </c>
      <c r="V2283" s="13" t="s">
        <v>89</v>
      </c>
      <c r="W2283" s="12">
        <v>10</v>
      </c>
      <c r="X2283" s="33" t="str">
        <f>HYPERLINK("https://www.alpinabook.ru/catalog/book-komnata-vaginova","ссылка на книгу")</f>
        <v>ссылка на книгу</v>
      </c>
      <c r="Y2283" s="34" t="str">
        <f>HYPERLINK("https://api-enni.alpina.ru/FilePrivilegesApproval/343","https://api-enni.alpina.ru/FilePrivilegesApproval/343")</f>
        <v>https://api-enni.alpina.ru/FilePrivilegesApproval/343</v>
      </c>
      <c r="Z2283" s="13"/>
      <c r="AT2283" s="1">
        <f t="shared" si="440"/>
        <v>0</v>
      </c>
      <c r="AU2283" s="1">
        <f t="shared" si="441"/>
        <v>0</v>
      </c>
      <c r="AV2283" s="1">
        <f t="shared" si="442"/>
        <v>0</v>
      </c>
      <c r="AW2283" s="1">
        <f t="shared" si="443"/>
        <v>0</v>
      </c>
      <c r="AX2283" s="1">
        <f t="shared" si="444"/>
        <v>0</v>
      </c>
    </row>
    <row r="2284" spans="1:50" s="1" customFormat="1" ht="24.95" customHeight="1" outlineLevel="3" x14ac:dyDescent="0.2">
      <c r="A2284" s="11"/>
      <c r="B2284" s="12">
        <v>590</v>
      </c>
      <c r="C2284" s="12">
        <v>890</v>
      </c>
      <c r="D2284" s="12">
        <v>23003</v>
      </c>
      <c r="E2284" s="13" t="s">
        <v>339</v>
      </c>
      <c r="F2284" s="13" t="s">
        <v>7452</v>
      </c>
      <c r="G2284" s="13" t="s">
        <v>39</v>
      </c>
      <c r="H2284" s="13"/>
      <c r="I2284" s="12">
        <v>2021</v>
      </c>
      <c r="J2284" s="13" t="s">
        <v>7453</v>
      </c>
      <c r="K2284" s="12">
        <v>9785001395065</v>
      </c>
      <c r="L2284" s="13" t="s">
        <v>7454</v>
      </c>
      <c r="M2284" s="12">
        <v>308</v>
      </c>
      <c r="N2284" s="14">
        <v>0.48</v>
      </c>
      <c r="O2284" s="12">
        <v>144</v>
      </c>
      <c r="P2284" s="12">
        <v>212</v>
      </c>
      <c r="Q2284" s="12">
        <v>5</v>
      </c>
      <c r="R2284" s="13" t="s">
        <v>43</v>
      </c>
      <c r="S2284" s="13"/>
      <c r="T2284" s="15">
        <v>3000</v>
      </c>
      <c r="U2284" s="13" t="s">
        <v>52</v>
      </c>
      <c r="V2284" s="13" t="s">
        <v>89</v>
      </c>
      <c r="W2284" s="12">
        <v>10</v>
      </c>
      <c r="X2284" s="33" t="str">
        <f>HYPERLINK("https://www.alpinabook.ru/catalog/book-710125","ссылка на книгу")</f>
        <v>ссылка на книгу</v>
      </c>
      <c r="Y2284" s="34" t="str">
        <f>HYPERLINK("https://api-enni.alpina.ru/FilePrivilegesApproval/207","https://api-enni.alpina.ru/FilePrivilegesApproval/207")</f>
        <v>https://api-enni.alpina.ru/FilePrivilegesApproval/207</v>
      </c>
      <c r="Z2284" s="13"/>
      <c r="AT2284" s="1">
        <f t="shared" si="440"/>
        <v>0</v>
      </c>
      <c r="AU2284" s="1">
        <f t="shared" si="441"/>
        <v>0</v>
      </c>
      <c r="AV2284" s="1">
        <f t="shared" si="442"/>
        <v>0</v>
      </c>
      <c r="AW2284" s="1">
        <f t="shared" si="443"/>
        <v>0</v>
      </c>
      <c r="AX2284" s="1">
        <f t="shared" si="444"/>
        <v>0</v>
      </c>
    </row>
    <row r="2285" spans="1:50" s="1" customFormat="1" ht="24.95" customHeight="1" outlineLevel="3" x14ac:dyDescent="0.2">
      <c r="A2285" s="11"/>
      <c r="B2285" s="12">
        <v>390</v>
      </c>
      <c r="C2285" s="12">
        <v>540</v>
      </c>
      <c r="D2285" s="12">
        <v>30109</v>
      </c>
      <c r="E2285" s="13" t="s">
        <v>339</v>
      </c>
      <c r="F2285" s="13" t="s">
        <v>7455</v>
      </c>
      <c r="G2285" s="13" t="s">
        <v>39</v>
      </c>
      <c r="H2285" s="13"/>
      <c r="I2285" s="12">
        <v>2024</v>
      </c>
      <c r="J2285" s="13" t="s">
        <v>7456</v>
      </c>
      <c r="K2285" s="12">
        <v>9785002232307</v>
      </c>
      <c r="L2285" s="13" t="s">
        <v>7457</v>
      </c>
      <c r="M2285" s="12">
        <v>384</v>
      </c>
      <c r="N2285" s="14">
        <v>0.24</v>
      </c>
      <c r="O2285" s="12">
        <v>120</v>
      </c>
      <c r="P2285" s="12">
        <v>170</v>
      </c>
      <c r="Q2285" s="12">
        <v>14</v>
      </c>
      <c r="R2285" s="13" t="s">
        <v>75</v>
      </c>
      <c r="S2285" s="13" t="s">
        <v>7186</v>
      </c>
      <c r="T2285" s="15">
        <v>4000</v>
      </c>
      <c r="U2285" s="13" t="s">
        <v>44</v>
      </c>
      <c r="V2285" s="13" t="s">
        <v>89</v>
      </c>
      <c r="W2285" s="12">
        <v>10</v>
      </c>
      <c r="X2285" s="33" t="str">
        <f>HYPERLINK("https://www.alpinabook.ru/catalog/book-komyuniti","ссылка на книгу")</f>
        <v>ссылка на книгу</v>
      </c>
      <c r="Y2285" s="34" t="str">
        <f>HYPERLINK("","")</f>
        <v/>
      </c>
      <c r="Z2285" s="13"/>
      <c r="AT2285" s="1">
        <f t="shared" si="440"/>
        <v>0</v>
      </c>
      <c r="AU2285" s="1">
        <f t="shared" si="441"/>
        <v>0</v>
      </c>
      <c r="AV2285" s="1">
        <f t="shared" si="442"/>
        <v>0</v>
      </c>
      <c r="AW2285" s="1">
        <f t="shared" si="443"/>
        <v>0</v>
      </c>
      <c r="AX2285" s="1">
        <f t="shared" si="444"/>
        <v>0</v>
      </c>
    </row>
    <row r="2286" spans="1:50" s="1" customFormat="1" ht="24.95" customHeight="1" outlineLevel="3" x14ac:dyDescent="0.2">
      <c r="A2286" s="11"/>
      <c r="B2286" s="12">
        <v>640</v>
      </c>
      <c r="C2286" s="12">
        <v>640</v>
      </c>
      <c r="D2286" s="12">
        <v>24717</v>
      </c>
      <c r="E2286" s="13" t="s">
        <v>7458</v>
      </c>
      <c r="F2286" s="13" t="s">
        <v>7459</v>
      </c>
      <c r="G2286" s="13" t="s">
        <v>39</v>
      </c>
      <c r="H2286" s="13"/>
      <c r="I2286" s="12">
        <v>2022</v>
      </c>
      <c r="J2286" s="13" t="s">
        <v>7460</v>
      </c>
      <c r="K2286" s="12">
        <v>9785001396123</v>
      </c>
      <c r="L2286" s="13" t="s">
        <v>7461</v>
      </c>
      <c r="M2286" s="12">
        <v>360</v>
      </c>
      <c r="N2286" s="14">
        <v>0.5</v>
      </c>
      <c r="O2286" s="12">
        <v>146</v>
      </c>
      <c r="P2286" s="12">
        <v>216</v>
      </c>
      <c r="Q2286" s="12">
        <v>8</v>
      </c>
      <c r="R2286" s="13" t="s">
        <v>43</v>
      </c>
      <c r="S2286" s="13"/>
      <c r="T2286" s="15">
        <v>3000</v>
      </c>
      <c r="U2286" s="13" t="s">
        <v>52</v>
      </c>
      <c r="V2286" s="13" t="s">
        <v>59</v>
      </c>
      <c r="W2286" s="12">
        <v>10</v>
      </c>
      <c r="X2286" s="33" t="str">
        <f>HYPERLINK("https://www.alpinabook.ru/catalog/book-koroleva-lir","ссылка на книгу")</f>
        <v>ссылка на книгу</v>
      </c>
      <c r="Y2286" s="34" t="str">
        <f>HYPERLINK("https://api-enni.alpina.ru/FilePrivilegesApproval/179","https://api-enni.alpina.ru/FilePrivilegesApproval/179")</f>
        <v>https://api-enni.alpina.ru/FilePrivilegesApproval/179</v>
      </c>
      <c r="Z2286" s="13"/>
      <c r="AT2286" s="1">
        <f t="shared" si="440"/>
        <v>0</v>
      </c>
      <c r="AU2286" s="1">
        <f t="shared" si="441"/>
        <v>0</v>
      </c>
      <c r="AV2286" s="1">
        <f t="shared" si="442"/>
        <v>0</v>
      </c>
      <c r="AW2286" s="1">
        <f t="shared" si="443"/>
        <v>0</v>
      </c>
      <c r="AX2286" s="1">
        <f t="shared" si="444"/>
        <v>0</v>
      </c>
    </row>
    <row r="2287" spans="1:50" s="1" customFormat="1" ht="24.95" customHeight="1" outlineLevel="3" x14ac:dyDescent="0.2">
      <c r="A2287" s="11"/>
      <c r="B2287" s="12">
        <v>570</v>
      </c>
      <c r="C2287" s="12">
        <v>840</v>
      </c>
      <c r="D2287" s="12">
        <v>31758</v>
      </c>
      <c r="E2287" s="13" t="s">
        <v>7462</v>
      </c>
      <c r="F2287" s="13" t="s">
        <v>7463</v>
      </c>
      <c r="G2287" s="13" t="s">
        <v>39</v>
      </c>
      <c r="H2287" s="13"/>
      <c r="I2287" s="12">
        <v>2025</v>
      </c>
      <c r="J2287" s="13" t="s">
        <v>7464</v>
      </c>
      <c r="K2287" s="12">
        <v>9785002234202</v>
      </c>
      <c r="L2287" s="13" t="s">
        <v>7465</v>
      </c>
      <c r="M2287" s="12">
        <v>416</v>
      </c>
      <c r="N2287" s="14">
        <v>0.33</v>
      </c>
      <c r="O2287" s="12">
        <v>150</v>
      </c>
      <c r="P2287" s="12">
        <v>200</v>
      </c>
      <c r="Q2287" s="12">
        <v>12</v>
      </c>
      <c r="R2287" s="13" t="s">
        <v>43</v>
      </c>
      <c r="S2287" s="13"/>
      <c r="T2287" s="15">
        <v>2000</v>
      </c>
      <c r="U2287" s="13" t="s">
        <v>44</v>
      </c>
      <c r="V2287" s="13" t="s">
        <v>89</v>
      </c>
      <c r="W2287" s="12">
        <v>10</v>
      </c>
      <c r="X2287" s="33" t="str">
        <f>HYPERLINK("https://www.alpinabook.ru/catalog/book-kray-chudes","ссылка на книгу")</f>
        <v>ссылка на книгу</v>
      </c>
      <c r="Y2287" s="34" t="str">
        <f>HYPERLINK("https://api-enni.alpina.ru/FilePrivilegesApproval/776","https://api-enni.alpina.ru/FilePrivilegesApproval/776")</f>
        <v>https://api-enni.alpina.ru/FilePrivilegesApproval/776</v>
      </c>
      <c r="Z2287" s="13" t="s">
        <v>1422</v>
      </c>
      <c r="AT2287" s="1">
        <f t="shared" si="440"/>
        <v>0</v>
      </c>
      <c r="AU2287" s="1">
        <f t="shared" si="441"/>
        <v>0</v>
      </c>
      <c r="AV2287" s="1">
        <f t="shared" si="442"/>
        <v>0</v>
      </c>
      <c r="AW2287" s="1">
        <f t="shared" si="443"/>
        <v>0</v>
      </c>
      <c r="AX2287" s="1">
        <f t="shared" si="444"/>
        <v>0</v>
      </c>
    </row>
    <row r="2288" spans="1:50" s="1" customFormat="1" ht="24.95" customHeight="1" outlineLevel="3" x14ac:dyDescent="0.2">
      <c r="A2288" s="11"/>
      <c r="B2288" s="12">
        <v>490</v>
      </c>
      <c r="C2288" s="12">
        <v>740</v>
      </c>
      <c r="D2288" s="12">
        <v>28654</v>
      </c>
      <c r="E2288" s="13" t="s">
        <v>7428</v>
      </c>
      <c r="F2288" s="13" t="s">
        <v>7466</v>
      </c>
      <c r="G2288" s="13" t="s">
        <v>39</v>
      </c>
      <c r="H2288" s="13"/>
      <c r="I2288" s="12">
        <v>2024</v>
      </c>
      <c r="J2288" s="13" t="s">
        <v>7467</v>
      </c>
      <c r="K2288" s="12">
        <v>9785002230440</v>
      </c>
      <c r="L2288" s="13" t="s">
        <v>7468</v>
      </c>
      <c r="M2288" s="12">
        <v>288</v>
      </c>
      <c r="N2288" s="14">
        <v>0.23</v>
      </c>
      <c r="O2288" s="12">
        <v>120</v>
      </c>
      <c r="P2288" s="12">
        <v>200</v>
      </c>
      <c r="Q2288" s="12">
        <v>12</v>
      </c>
      <c r="R2288" s="13" t="s">
        <v>82</v>
      </c>
      <c r="S2288" s="13"/>
      <c r="T2288" s="15">
        <v>2000</v>
      </c>
      <c r="U2288" s="13" t="s">
        <v>44</v>
      </c>
      <c r="V2288" s="13" t="s">
        <v>89</v>
      </c>
      <c r="W2288" s="12">
        <v>20</v>
      </c>
      <c r="X2288" s="33" t="str">
        <f>HYPERLINK("https://www.alpinabook.ru/catalog/book-krasnye-bloknoty-kristiny","ссылка на книгу")</f>
        <v>ссылка на книгу</v>
      </c>
      <c r="Y2288" s="34" t="str">
        <f>HYPERLINK("https://api-enni.alpina.ru/FilePrivilegesApproval/419","https://api-enni.alpina.ru/FilePrivilegesApproval/419")</f>
        <v>https://api-enni.alpina.ru/FilePrivilegesApproval/419</v>
      </c>
      <c r="Z2288" s="13"/>
      <c r="AT2288" s="1">
        <f t="shared" si="440"/>
        <v>0</v>
      </c>
      <c r="AU2288" s="1">
        <f t="shared" si="441"/>
        <v>0</v>
      </c>
      <c r="AV2288" s="1">
        <f t="shared" si="442"/>
        <v>0</v>
      </c>
      <c r="AW2288" s="1">
        <f t="shared" si="443"/>
        <v>0</v>
      </c>
      <c r="AX2288" s="1">
        <f t="shared" si="444"/>
        <v>0</v>
      </c>
    </row>
    <row r="2289" spans="1:50" s="1" customFormat="1" ht="24.95" customHeight="1" outlineLevel="3" x14ac:dyDescent="0.2">
      <c r="A2289" s="11"/>
      <c r="B2289" s="12">
        <v>540</v>
      </c>
      <c r="C2289" s="12">
        <v>640</v>
      </c>
      <c r="D2289" s="12">
        <v>23246</v>
      </c>
      <c r="E2289" s="13" t="s">
        <v>572</v>
      </c>
      <c r="F2289" s="13" t="s">
        <v>7469</v>
      </c>
      <c r="G2289" s="13" t="s">
        <v>39</v>
      </c>
      <c r="H2289" s="13"/>
      <c r="I2289" s="12">
        <v>2021</v>
      </c>
      <c r="J2289" s="13" t="s">
        <v>7470</v>
      </c>
      <c r="K2289" s="12">
        <v>9785001395553</v>
      </c>
      <c r="L2289" s="13" t="s">
        <v>7471</v>
      </c>
      <c r="M2289" s="12">
        <v>296</v>
      </c>
      <c r="N2289" s="14">
        <v>0.34</v>
      </c>
      <c r="O2289" s="12">
        <v>130</v>
      </c>
      <c r="P2289" s="12">
        <v>206</v>
      </c>
      <c r="Q2289" s="12">
        <v>14</v>
      </c>
      <c r="R2289" s="13" t="s">
        <v>82</v>
      </c>
      <c r="S2289" s="13"/>
      <c r="T2289" s="15">
        <v>3000</v>
      </c>
      <c r="U2289" s="13" t="s">
        <v>52</v>
      </c>
      <c r="V2289" s="13" t="s">
        <v>89</v>
      </c>
      <c r="W2289" s="12">
        <v>10</v>
      </c>
      <c r="X2289" s="33" t="str">
        <f>HYPERLINK("https://www.alpinabook.ru/catalog/book-krylya-uzhasa","ссылка на книгу")</f>
        <v>ссылка на книгу</v>
      </c>
      <c r="Y2289" s="34" t="str">
        <f>HYPERLINK("https://api-enni.alpina.ru/FilePrivilegesApproval/149","https://api-enni.alpina.ru/FilePrivilegesApproval/149")</f>
        <v>https://api-enni.alpina.ru/FilePrivilegesApproval/149</v>
      </c>
      <c r="Z2289" s="13"/>
      <c r="AT2289" s="1">
        <f t="shared" si="440"/>
        <v>0</v>
      </c>
      <c r="AU2289" s="1">
        <f t="shared" si="441"/>
        <v>0</v>
      </c>
      <c r="AV2289" s="1">
        <f t="shared" si="442"/>
        <v>0</v>
      </c>
      <c r="AW2289" s="1">
        <f t="shared" si="443"/>
        <v>0</v>
      </c>
      <c r="AX2289" s="1">
        <f t="shared" si="444"/>
        <v>0</v>
      </c>
    </row>
    <row r="2290" spans="1:50" s="1" customFormat="1" ht="21.95" customHeight="1" outlineLevel="3" x14ac:dyDescent="0.2">
      <c r="A2290" s="11"/>
      <c r="B2290" s="12">
        <v>490</v>
      </c>
      <c r="C2290" s="12">
        <v>690</v>
      </c>
      <c r="D2290" s="12">
        <v>30961</v>
      </c>
      <c r="E2290" s="13" t="s">
        <v>7448</v>
      </c>
      <c r="F2290" s="13" t="s">
        <v>7472</v>
      </c>
      <c r="G2290" s="13" t="s">
        <v>39</v>
      </c>
      <c r="H2290" s="13"/>
      <c r="I2290" s="12">
        <v>2024</v>
      </c>
      <c r="J2290" s="13" t="s">
        <v>7473</v>
      </c>
      <c r="K2290" s="12">
        <v>9785002233106</v>
      </c>
      <c r="L2290" s="13" t="s">
        <v>7474</v>
      </c>
      <c r="M2290" s="12">
        <v>174</v>
      </c>
      <c r="N2290" s="14">
        <v>0.14000000000000001</v>
      </c>
      <c r="O2290" s="12">
        <v>130</v>
      </c>
      <c r="P2290" s="12">
        <v>200</v>
      </c>
      <c r="Q2290" s="12">
        <v>20</v>
      </c>
      <c r="R2290" s="13" t="s">
        <v>82</v>
      </c>
      <c r="S2290" s="13"/>
      <c r="T2290" s="15">
        <v>3000</v>
      </c>
      <c r="U2290" s="13" t="s">
        <v>44</v>
      </c>
      <c r="V2290" s="13" t="s">
        <v>89</v>
      </c>
      <c r="W2290" s="12">
        <v>20</v>
      </c>
      <c r="X2290" s="33" t="str">
        <f>HYPERLINK("https://www.alpinabook.ru/catalog/book-kurort","ссылка на книгу")</f>
        <v>ссылка на книгу</v>
      </c>
      <c r="Y2290" s="34" t="str">
        <f>HYPERLINK("","")</f>
        <v/>
      </c>
      <c r="Z2290" s="13"/>
      <c r="AT2290" s="1">
        <f t="shared" si="440"/>
        <v>0</v>
      </c>
      <c r="AU2290" s="1">
        <f t="shared" si="441"/>
        <v>0</v>
      </c>
      <c r="AV2290" s="1">
        <f t="shared" si="442"/>
        <v>0</v>
      </c>
      <c r="AW2290" s="1">
        <f t="shared" si="443"/>
        <v>0</v>
      </c>
      <c r="AX2290" s="1">
        <f t="shared" si="444"/>
        <v>0</v>
      </c>
    </row>
    <row r="2291" spans="1:50" s="1" customFormat="1" ht="24.95" customHeight="1" outlineLevel="3" x14ac:dyDescent="0.2">
      <c r="A2291" s="11"/>
      <c r="B2291" s="12">
        <v>340</v>
      </c>
      <c r="C2291" s="12">
        <v>540</v>
      </c>
      <c r="D2291" s="12">
        <v>28984</v>
      </c>
      <c r="E2291" s="13" t="s">
        <v>6802</v>
      </c>
      <c r="F2291" s="13" t="s">
        <v>7475</v>
      </c>
      <c r="G2291" s="13" t="s">
        <v>39</v>
      </c>
      <c r="H2291" s="13"/>
      <c r="I2291" s="12">
        <v>2025</v>
      </c>
      <c r="J2291" s="13" t="s">
        <v>7476</v>
      </c>
      <c r="K2291" s="12">
        <v>9785002230983</v>
      </c>
      <c r="L2291" s="13" t="s">
        <v>7477</v>
      </c>
      <c r="M2291" s="12">
        <v>266</v>
      </c>
      <c r="N2291" s="14">
        <v>0.17</v>
      </c>
      <c r="O2291" s="12">
        <v>120</v>
      </c>
      <c r="P2291" s="12">
        <v>170</v>
      </c>
      <c r="Q2291" s="12">
        <v>24</v>
      </c>
      <c r="R2291" s="13" t="s">
        <v>75</v>
      </c>
      <c r="S2291" s="13" t="s">
        <v>7332</v>
      </c>
      <c r="T2291" s="15">
        <v>1500</v>
      </c>
      <c r="U2291" s="13" t="s">
        <v>44</v>
      </c>
      <c r="V2291" s="13" t="s">
        <v>89</v>
      </c>
      <c r="W2291" s="12">
        <v>10</v>
      </c>
      <c r="X2291" s="33" t="str">
        <f>HYPERLINK("https://www.alpinabook.ru/catalog/book-lyegkoe-dykhanie","ссылка на книгу")</f>
        <v>ссылка на книгу</v>
      </c>
      <c r="Y2291" s="34" t="str">
        <f>HYPERLINK("https://api-enni.alpina.ru/FilePrivilegesApproval/776","https://api-enni.alpina.ru/FilePrivilegesApproval/776")</f>
        <v>https://api-enni.alpina.ru/FilePrivilegesApproval/776</v>
      </c>
      <c r="Z2291" s="13" t="s">
        <v>70</v>
      </c>
      <c r="AT2291" s="1">
        <f t="shared" si="440"/>
        <v>0</v>
      </c>
      <c r="AU2291" s="1">
        <f t="shared" si="441"/>
        <v>0</v>
      </c>
      <c r="AV2291" s="1">
        <f t="shared" si="442"/>
        <v>0</v>
      </c>
      <c r="AW2291" s="1">
        <f t="shared" si="443"/>
        <v>0</v>
      </c>
      <c r="AX2291" s="1">
        <f t="shared" si="444"/>
        <v>0</v>
      </c>
    </row>
    <row r="2292" spans="1:50" s="1" customFormat="1" ht="24.95" customHeight="1" outlineLevel="3" x14ac:dyDescent="0.2">
      <c r="A2292" s="11"/>
      <c r="B2292" s="12">
        <v>640</v>
      </c>
      <c r="C2292" s="12">
        <v>890</v>
      </c>
      <c r="D2292" s="12">
        <v>25360</v>
      </c>
      <c r="E2292" s="13" t="s">
        <v>339</v>
      </c>
      <c r="F2292" s="13" t="s">
        <v>7478</v>
      </c>
      <c r="G2292" s="13" t="s">
        <v>39</v>
      </c>
      <c r="H2292" s="13"/>
      <c r="I2292" s="12">
        <v>2022</v>
      </c>
      <c r="J2292" s="13" t="s">
        <v>7479</v>
      </c>
      <c r="K2292" s="12">
        <v>9785001397014</v>
      </c>
      <c r="L2292" s="13" t="s">
        <v>7480</v>
      </c>
      <c r="M2292" s="12">
        <v>204</v>
      </c>
      <c r="N2292" s="14">
        <v>0.36</v>
      </c>
      <c r="O2292" s="12">
        <v>146</v>
      </c>
      <c r="P2292" s="12">
        <v>216</v>
      </c>
      <c r="Q2292" s="12">
        <v>14</v>
      </c>
      <c r="R2292" s="13" t="s">
        <v>43</v>
      </c>
      <c r="S2292" s="13"/>
      <c r="T2292" s="15">
        <v>3000</v>
      </c>
      <c r="U2292" s="13" t="s">
        <v>52</v>
      </c>
      <c r="V2292" s="13" t="s">
        <v>89</v>
      </c>
      <c r="W2292" s="12">
        <v>10</v>
      </c>
      <c r="X2292" s="33" t="str">
        <f>HYPERLINK("https://www.alpinabook.ru/catalog/book-letoischislenie-ot-ioanna","ссылка на книгу")</f>
        <v>ссылка на книгу</v>
      </c>
      <c r="Y2292" s="34" t="str">
        <f>HYPERLINK("https://api-enni.alpina.ru/FilePrivilegesApproval/190","https://api-enni.alpina.ru/FilePrivilegesApproval/190")</f>
        <v>https://api-enni.alpina.ru/FilePrivilegesApproval/190</v>
      </c>
      <c r="Z2292" s="13"/>
      <c r="AT2292" s="1">
        <f t="shared" si="440"/>
        <v>0</v>
      </c>
      <c r="AU2292" s="1">
        <f t="shared" si="441"/>
        <v>0</v>
      </c>
      <c r="AV2292" s="1">
        <f t="shared" si="442"/>
        <v>0</v>
      </c>
      <c r="AW2292" s="1">
        <f t="shared" si="443"/>
        <v>0</v>
      </c>
      <c r="AX2292" s="1">
        <f t="shared" si="444"/>
        <v>0</v>
      </c>
    </row>
    <row r="2293" spans="1:50" s="1" customFormat="1" ht="24.95" customHeight="1" outlineLevel="3" x14ac:dyDescent="0.2">
      <c r="A2293" s="11"/>
      <c r="B2293" s="12">
        <v>340</v>
      </c>
      <c r="C2293" s="12">
        <v>540</v>
      </c>
      <c r="D2293" s="12">
        <v>29071</v>
      </c>
      <c r="E2293" s="13" t="s">
        <v>339</v>
      </c>
      <c r="F2293" s="13" t="s">
        <v>7481</v>
      </c>
      <c r="G2293" s="13" t="s">
        <v>39</v>
      </c>
      <c r="H2293" s="13"/>
      <c r="I2293" s="12">
        <v>2024</v>
      </c>
      <c r="J2293" s="13" t="s">
        <v>7482</v>
      </c>
      <c r="K2293" s="12">
        <v>9785002231089</v>
      </c>
      <c r="L2293" s="13" t="s">
        <v>7483</v>
      </c>
      <c r="M2293" s="12">
        <v>224</v>
      </c>
      <c r="N2293" s="14">
        <v>0.15</v>
      </c>
      <c r="O2293" s="12">
        <v>120</v>
      </c>
      <c r="P2293" s="12">
        <v>170</v>
      </c>
      <c r="Q2293" s="12">
        <v>7</v>
      </c>
      <c r="R2293" s="13" t="s">
        <v>75</v>
      </c>
      <c r="S2293" s="13" t="s">
        <v>7186</v>
      </c>
      <c r="T2293" s="15">
        <v>4000</v>
      </c>
      <c r="U2293" s="13" t="s">
        <v>44</v>
      </c>
      <c r="V2293" s="13" t="s">
        <v>89</v>
      </c>
      <c r="W2293" s="12">
        <v>10</v>
      </c>
      <c r="X2293" s="33" t="str">
        <f>HYPERLINK("https://www.alpinabook.ru/catalog/book-letoischislenie-ot-ioanna","ссылка на книгу")</f>
        <v>ссылка на книгу</v>
      </c>
      <c r="Y2293" s="34" t="str">
        <f>HYPERLINK("https://api-enni.alpina.ru/FilePrivilegesApproval/190","https://api-enni.alpina.ru/FilePrivilegesApproval/190")</f>
        <v>https://api-enni.alpina.ru/FilePrivilegesApproval/190</v>
      </c>
      <c r="Z2293" s="13"/>
      <c r="AT2293" s="1">
        <f t="shared" si="440"/>
        <v>0</v>
      </c>
      <c r="AU2293" s="1">
        <f t="shared" si="441"/>
        <v>0</v>
      </c>
      <c r="AV2293" s="1">
        <f t="shared" si="442"/>
        <v>0</v>
      </c>
      <c r="AW2293" s="1">
        <f t="shared" si="443"/>
        <v>0</v>
      </c>
      <c r="AX2293" s="1">
        <f t="shared" si="444"/>
        <v>0</v>
      </c>
    </row>
    <row r="2294" spans="1:50" s="1" customFormat="1" ht="21.95" customHeight="1" outlineLevel="3" x14ac:dyDescent="0.2">
      <c r="A2294" s="11"/>
      <c r="B2294" s="12">
        <v>590</v>
      </c>
      <c r="C2294" s="12">
        <v>840</v>
      </c>
      <c r="D2294" s="12">
        <v>31095</v>
      </c>
      <c r="E2294" s="13" t="s">
        <v>7484</v>
      </c>
      <c r="F2294" s="13" t="s">
        <v>7485</v>
      </c>
      <c r="G2294" s="13" t="s">
        <v>39</v>
      </c>
      <c r="H2294" s="13"/>
      <c r="I2294" s="12">
        <v>2024</v>
      </c>
      <c r="J2294" s="13" t="s">
        <v>7486</v>
      </c>
      <c r="K2294" s="12">
        <v>9785002233342</v>
      </c>
      <c r="L2294" s="13" t="s">
        <v>7487</v>
      </c>
      <c r="M2294" s="12">
        <v>286</v>
      </c>
      <c r="N2294" s="14">
        <v>0.35</v>
      </c>
      <c r="O2294" s="12">
        <v>130</v>
      </c>
      <c r="P2294" s="12">
        <v>210</v>
      </c>
      <c r="Q2294" s="12">
        <v>12</v>
      </c>
      <c r="R2294" s="13" t="s">
        <v>82</v>
      </c>
      <c r="S2294" s="13"/>
      <c r="T2294" s="15">
        <v>3000</v>
      </c>
      <c r="U2294" s="13" t="s">
        <v>52</v>
      </c>
      <c r="V2294" s="13" t="s">
        <v>89</v>
      </c>
      <c r="W2294" s="12">
        <v>20</v>
      </c>
      <c r="X2294" s="33" t="str">
        <f>HYPERLINK("https://www.alpinabook.ru/catalog/book-litoral","ссылка на книгу")</f>
        <v>ссылка на книгу</v>
      </c>
      <c r="Y2294" s="34" t="str">
        <f>HYPERLINK("","")</f>
        <v/>
      </c>
      <c r="Z2294" s="13"/>
      <c r="AT2294" s="1">
        <f t="shared" si="440"/>
        <v>0</v>
      </c>
      <c r="AU2294" s="1">
        <f t="shared" si="441"/>
        <v>0</v>
      </c>
      <c r="AV2294" s="1">
        <f t="shared" si="442"/>
        <v>0</v>
      </c>
      <c r="AW2294" s="1">
        <f t="shared" si="443"/>
        <v>0</v>
      </c>
      <c r="AX2294" s="1">
        <f t="shared" si="444"/>
        <v>0</v>
      </c>
    </row>
    <row r="2295" spans="1:50" s="1" customFormat="1" ht="21.95" customHeight="1" outlineLevel="3" x14ac:dyDescent="0.2">
      <c r="A2295" s="11"/>
      <c r="B2295" s="12">
        <v>540</v>
      </c>
      <c r="C2295" s="12">
        <v>790</v>
      </c>
      <c r="D2295" s="12">
        <v>28591</v>
      </c>
      <c r="E2295" s="13" t="s">
        <v>7488</v>
      </c>
      <c r="F2295" s="13" t="s">
        <v>7489</v>
      </c>
      <c r="G2295" s="13" t="s">
        <v>3511</v>
      </c>
      <c r="H2295" s="13"/>
      <c r="I2295" s="12">
        <v>2023</v>
      </c>
      <c r="J2295" s="13" t="s">
        <v>7490</v>
      </c>
      <c r="K2295" s="12">
        <v>9785002160525</v>
      </c>
      <c r="L2295" s="13" t="s">
        <v>7491</v>
      </c>
      <c r="M2295" s="12">
        <v>336</v>
      </c>
      <c r="N2295" s="14">
        <v>0.43</v>
      </c>
      <c r="O2295" s="12">
        <v>150</v>
      </c>
      <c r="P2295" s="12">
        <v>210</v>
      </c>
      <c r="Q2295" s="12">
        <v>8</v>
      </c>
      <c r="R2295" s="13" t="s">
        <v>43</v>
      </c>
      <c r="S2295" s="13" t="s">
        <v>7492</v>
      </c>
      <c r="T2295" s="15">
        <v>4017</v>
      </c>
      <c r="U2295" s="13" t="s">
        <v>44</v>
      </c>
      <c r="V2295" s="13" t="s">
        <v>89</v>
      </c>
      <c r="W2295" s="12">
        <v>20</v>
      </c>
      <c r="X2295" s="33" t="str">
        <f>HYPERLINK("https://www.alpinabook.ru/catalog/book-lishniy","ссылка на книгу")</f>
        <v>ссылка на книгу</v>
      </c>
      <c r="Y2295" s="34" t="str">
        <f>HYPERLINK("","")</f>
        <v/>
      </c>
      <c r="Z2295" s="13"/>
      <c r="AT2295" s="1">
        <f t="shared" si="440"/>
        <v>0</v>
      </c>
      <c r="AU2295" s="1">
        <f t="shared" si="441"/>
        <v>0</v>
      </c>
      <c r="AV2295" s="1">
        <f t="shared" si="442"/>
        <v>0</v>
      </c>
      <c r="AW2295" s="1">
        <f t="shared" si="443"/>
        <v>0</v>
      </c>
      <c r="AX2295" s="1">
        <f t="shared" si="444"/>
        <v>0</v>
      </c>
    </row>
    <row r="2296" spans="1:50" s="1" customFormat="1" ht="24.95" customHeight="1" outlineLevel="3" x14ac:dyDescent="0.2">
      <c r="A2296" s="11"/>
      <c r="B2296" s="12">
        <v>730</v>
      </c>
      <c r="C2296" s="12">
        <v>940</v>
      </c>
      <c r="D2296" s="12">
        <v>25765</v>
      </c>
      <c r="E2296" s="13" t="s">
        <v>7313</v>
      </c>
      <c r="F2296" s="13" t="s">
        <v>7493</v>
      </c>
      <c r="G2296" s="13" t="s">
        <v>39</v>
      </c>
      <c r="H2296" s="13"/>
      <c r="I2296" s="12">
        <v>2024</v>
      </c>
      <c r="J2296" s="13" t="s">
        <v>7494</v>
      </c>
      <c r="K2296" s="12">
        <v>9785001397076</v>
      </c>
      <c r="L2296" s="13" t="s">
        <v>7495</v>
      </c>
      <c r="M2296" s="12">
        <v>640</v>
      </c>
      <c r="N2296" s="14">
        <v>0.83</v>
      </c>
      <c r="O2296" s="12">
        <v>150</v>
      </c>
      <c r="P2296" s="12">
        <v>220</v>
      </c>
      <c r="Q2296" s="12">
        <v>3</v>
      </c>
      <c r="R2296" s="13" t="s">
        <v>43</v>
      </c>
      <c r="S2296" s="13"/>
      <c r="T2296" s="15">
        <v>1000</v>
      </c>
      <c r="U2296" s="13" t="s">
        <v>52</v>
      </c>
      <c r="V2296" s="13" t="s">
        <v>45</v>
      </c>
      <c r="W2296" s="12">
        <v>10</v>
      </c>
      <c r="X2296" s="33" t="str">
        <f>HYPERLINK("https://www.alpinabook.ru/catalog/book-mark-i-ezra-2-0","ссылка на книгу")</f>
        <v>ссылка на книгу</v>
      </c>
      <c r="Y2296" s="34" t="str">
        <f>HYPERLINK("https://api-enni.alpina.ru/FilePrivilegesApproval/190","https://api-enni.alpina.ru/FilePrivilegesApproval/190")</f>
        <v>https://api-enni.alpina.ru/FilePrivilegesApproval/190</v>
      </c>
      <c r="Z2296" s="13"/>
      <c r="AT2296" s="1">
        <f t="shared" si="440"/>
        <v>0</v>
      </c>
      <c r="AU2296" s="1">
        <f t="shared" si="441"/>
        <v>0</v>
      </c>
      <c r="AV2296" s="1">
        <f t="shared" si="442"/>
        <v>0</v>
      </c>
      <c r="AW2296" s="1">
        <f t="shared" si="443"/>
        <v>0</v>
      </c>
      <c r="AX2296" s="1">
        <f t="shared" si="444"/>
        <v>0</v>
      </c>
    </row>
    <row r="2297" spans="1:50" s="1" customFormat="1" ht="24.95" customHeight="1" outlineLevel="3" x14ac:dyDescent="0.2">
      <c r="A2297" s="11"/>
      <c r="B2297" s="12">
        <v>640</v>
      </c>
      <c r="C2297" s="12">
        <v>890</v>
      </c>
      <c r="D2297" s="12">
        <v>30822</v>
      </c>
      <c r="E2297" s="13" t="s">
        <v>7496</v>
      </c>
      <c r="F2297" s="13" t="s">
        <v>7497</v>
      </c>
      <c r="G2297" s="13" t="s">
        <v>39</v>
      </c>
      <c r="H2297" s="13"/>
      <c r="I2297" s="12">
        <v>2024</v>
      </c>
      <c r="J2297" s="13" t="s">
        <v>7498</v>
      </c>
      <c r="K2297" s="12">
        <v>9785002232963</v>
      </c>
      <c r="L2297" s="13" t="s">
        <v>7499</v>
      </c>
      <c r="M2297" s="12">
        <v>288</v>
      </c>
      <c r="N2297" s="14">
        <v>0.46</v>
      </c>
      <c r="O2297" s="12">
        <v>160</v>
      </c>
      <c r="P2297" s="12">
        <v>240</v>
      </c>
      <c r="Q2297" s="12">
        <v>9</v>
      </c>
      <c r="R2297" s="13" t="s">
        <v>94</v>
      </c>
      <c r="S2297" s="13"/>
      <c r="T2297" s="15">
        <v>5000</v>
      </c>
      <c r="U2297" s="13" t="s">
        <v>44</v>
      </c>
      <c r="V2297" s="13" t="s">
        <v>89</v>
      </c>
      <c r="W2297" s="12">
        <v>20</v>
      </c>
      <c r="X2297" s="33" t="str">
        <f>HYPERLINK("https://www.alpinabook.ru/catalog/book-mekhanicheskoe-vmeshatelstvo","ссылка на книгу")</f>
        <v>ссылка на книгу</v>
      </c>
      <c r="Y2297" s="34" t="str">
        <f>HYPERLINK("","")</f>
        <v/>
      </c>
      <c r="Z2297" s="13"/>
      <c r="AT2297" s="1">
        <f t="shared" si="440"/>
        <v>0</v>
      </c>
      <c r="AU2297" s="1">
        <f t="shared" si="441"/>
        <v>0</v>
      </c>
      <c r="AV2297" s="1">
        <f t="shared" si="442"/>
        <v>0</v>
      </c>
      <c r="AW2297" s="1">
        <f t="shared" si="443"/>
        <v>0</v>
      </c>
      <c r="AX2297" s="1">
        <f t="shared" si="444"/>
        <v>0</v>
      </c>
    </row>
    <row r="2298" spans="1:50" s="1" customFormat="1" ht="24.95" customHeight="1" outlineLevel="3" x14ac:dyDescent="0.2">
      <c r="A2298" s="11"/>
      <c r="B2298" s="12">
        <v>540</v>
      </c>
      <c r="C2298" s="12">
        <v>790</v>
      </c>
      <c r="D2298" s="12">
        <v>23117</v>
      </c>
      <c r="E2298" s="13" t="s">
        <v>572</v>
      </c>
      <c r="F2298" s="13" t="s">
        <v>7500</v>
      </c>
      <c r="G2298" s="13" t="s">
        <v>39</v>
      </c>
      <c r="H2298" s="13"/>
      <c r="I2298" s="12">
        <v>2021</v>
      </c>
      <c r="J2298" s="13" t="s">
        <v>7501</v>
      </c>
      <c r="K2298" s="12">
        <v>9785001394730</v>
      </c>
      <c r="L2298" s="13" t="s">
        <v>7502</v>
      </c>
      <c r="M2298" s="12">
        <v>360</v>
      </c>
      <c r="N2298" s="14">
        <v>0.39</v>
      </c>
      <c r="O2298" s="12">
        <v>130</v>
      </c>
      <c r="P2298" s="12">
        <v>206</v>
      </c>
      <c r="Q2298" s="12">
        <v>10</v>
      </c>
      <c r="R2298" s="13" t="s">
        <v>82</v>
      </c>
      <c r="S2298" s="13"/>
      <c r="T2298" s="15">
        <v>3000</v>
      </c>
      <c r="U2298" s="13" t="s">
        <v>52</v>
      </c>
      <c r="V2298" s="13" t="s">
        <v>89</v>
      </c>
      <c r="W2298" s="12">
        <v>10</v>
      </c>
      <c r="X2298" s="33" t="str">
        <f>HYPERLINK("https://www.alpinabook.ru/catalog/book-715711","ссылка на книгу")</f>
        <v>ссылка на книгу</v>
      </c>
      <c r="Y2298" s="34" t="str">
        <f>HYPERLINK("https://api-enni.alpina.ru/FilePrivilegesApproval/207","https://api-enni.alpina.ru/FilePrivilegesApproval/207")</f>
        <v>https://api-enni.alpina.ru/FilePrivilegesApproval/207</v>
      </c>
      <c r="Z2298" s="13"/>
      <c r="AT2298" s="1">
        <f t="shared" si="440"/>
        <v>0</v>
      </c>
      <c r="AU2298" s="1">
        <f t="shared" si="441"/>
        <v>0</v>
      </c>
      <c r="AV2298" s="1">
        <f t="shared" si="442"/>
        <v>0</v>
      </c>
      <c r="AW2298" s="1">
        <f t="shared" si="443"/>
        <v>0</v>
      </c>
      <c r="AX2298" s="1">
        <f t="shared" si="444"/>
        <v>0</v>
      </c>
    </row>
    <row r="2299" spans="1:50" s="1" customFormat="1" ht="21.95" customHeight="1" outlineLevel="3" x14ac:dyDescent="0.2">
      <c r="A2299" s="11"/>
      <c r="B2299" s="12">
        <v>890</v>
      </c>
      <c r="C2299" s="15">
        <v>1290</v>
      </c>
      <c r="D2299" s="12">
        <v>31894</v>
      </c>
      <c r="E2299" s="13" t="s">
        <v>7503</v>
      </c>
      <c r="F2299" s="13" t="s">
        <v>7504</v>
      </c>
      <c r="G2299" s="13" t="s">
        <v>39</v>
      </c>
      <c r="H2299" s="13"/>
      <c r="I2299" s="12">
        <v>2025</v>
      </c>
      <c r="J2299" s="13" t="s">
        <v>7505</v>
      </c>
      <c r="K2299" s="12">
        <v>9785916719734</v>
      </c>
      <c r="L2299" s="13" t="s">
        <v>7506</v>
      </c>
      <c r="M2299" s="12">
        <v>486</v>
      </c>
      <c r="N2299" s="14">
        <v>0.53</v>
      </c>
      <c r="O2299" s="12">
        <v>150</v>
      </c>
      <c r="P2299" s="12">
        <v>220</v>
      </c>
      <c r="Q2299" s="12">
        <v>10</v>
      </c>
      <c r="R2299" s="13" t="s">
        <v>43</v>
      </c>
      <c r="S2299" s="13"/>
      <c r="T2299" s="15">
        <v>2000</v>
      </c>
      <c r="U2299" s="13" t="s">
        <v>52</v>
      </c>
      <c r="V2299" s="13" t="s">
        <v>89</v>
      </c>
      <c r="W2299" s="12">
        <v>20</v>
      </c>
      <c r="X2299" s="33" t="str">
        <f>HYPERLINK("https://www.alpinabook.ru/catalog/book-mirovaya","ссылка на книгу")</f>
        <v>ссылка на книгу</v>
      </c>
      <c r="Y2299" s="34" t="str">
        <f>HYPERLINK("","")</f>
        <v/>
      </c>
      <c r="Z2299" s="13" t="s">
        <v>1342</v>
      </c>
      <c r="AT2299" s="1">
        <f t="shared" si="440"/>
        <v>0</v>
      </c>
      <c r="AU2299" s="1">
        <f t="shared" si="441"/>
        <v>0</v>
      </c>
      <c r="AV2299" s="1">
        <f t="shared" si="442"/>
        <v>0</v>
      </c>
      <c r="AW2299" s="1">
        <f t="shared" si="443"/>
        <v>0</v>
      </c>
      <c r="AX2299" s="1">
        <f t="shared" si="444"/>
        <v>0</v>
      </c>
    </row>
    <row r="2300" spans="1:50" s="1" customFormat="1" ht="24.95" customHeight="1" outlineLevel="3" x14ac:dyDescent="0.2">
      <c r="A2300" s="11"/>
      <c r="B2300" s="12">
        <v>590</v>
      </c>
      <c r="C2300" s="12">
        <v>840</v>
      </c>
      <c r="D2300" s="12">
        <v>23124</v>
      </c>
      <c r="E2300" s="13" t="s">
        <v>7301</v>
      </c>
      <c r="F2300" s="13" t="s">
        <v>7507</v>
      </c>
      <c r="G2300" s="13" t="s">
        <v>39</v>
      </c>
      <c r="H2300" s="13"/>
      <c r="I2300" s="12">
        <v>2021</v>
      </c>
      <c r="J2300" s="13" t="s">
        <v>7508</v>
      </c>
      <c r="K2300" s="12">
        <v>9785001395256</v>
      </c>
      <c r="L2300" s="13" t="s">
        <v>7509</v>
      </c>
      <c r="M2300" s="12">
        <v>320</v>
      </c>
      <c r="N2300" s="14">
        <v>0.42</v>
      </c>
      <c r="O2300" s="12">
        <v>146</v>
      </c>
      <c r="P2300" s="12">
        <v>216</v>
      </c>
      <c r="Q2300" s="12">
        <v>12</v>
      </c>
      <c r="R2300" s="13" t="s">
        <v>43</v>
      </c>
      <c r="S2300" s="13"/>
      <c r="T2300" s="15">
        <v>5000</v>
      </c>
      <c r="U2300" s="13" t="s">
        <v>52</v>
      </c>
      <c r="V2300" s="13" t="s">
        <v>89</v>
      </c>
      <c r="W2300" s="12">
        <v>10</v>
      </c>
      <c r="X2300" s="33" t="str">
        <f>HYPERLINK("https://www.alpinabook.ru/catalog/book-molodoy-negodyay","ссылка на книгу")</f>
        <v>ссылка на книгу</v>
      </c>
      <c r="Y2300" s="34" t="str">
        <f>HYPERLINK("https://api-enni.alpina.ru/FilePrivilegesApproval/149","https://api-enni.alpina.ru/FilePrivilegesApproval/149")</f>
        <v>https://api-enni.alpina.ru/FilePrivilegesApproval/149</v>
      </c>
      <c r="Z2300" s="13"/>
      <c r="AT2300" s="1">
        <f t="shared" si="440"/>
        <v>0</v>
      </c>
      <c r="AU2300" s="1">
        <f t="shared" si="441"/>
        <v>0</v>
      </c>
      <c r="AV2300" s="1">
        <f t="shared" si="442"/>
        <v>0</v>
      </c>
      <c r="AW2300" s="1">
        <f t="shared" si="443"/>
        <v>0</v>
      </c>
      <c r="AX2300" s="1">
        <f t="shared" si="444"/>
        <v>0</v>
      </c>
    </row>
    <row r="2301" spans="1:50" s="1" customFormat="1" ht="24.95" customHeight="1" outlineLevel="3" x14ac:dyDescent="0.2">
      <c r="A2301" s="11"/>
      <c r="B2301" s="12">
        <v>590</v>
      </c>
      <c r="C2301" s="12">
        <v>840</v>
      </c>
      <c r="D2301" s="12">
        <v>23244</v>
      </c>
      <c r="E2301" s="13" t="s">
        <v>572</v>
      </c>
      <c r="F2301" s="13" t="s">
        <v>573</v>
      </c>
      <c r="G2301" s="13" t="s">
        <v>39</v>
      </c>
      <c r="H2301" s="13"/>
      <c r="I2301" s="12">
        <v>2025</v>
      </c>
      <c r="J2301" s="13" t="s">
        <v>574</v>
      </c>
      <c r="K2301" s="12">
        <v>9785001395232</v>
      </c>
      <c r="L2301" s="13" t="s">
        <v>575</v>
      </c>
      <c r="M2301" s="12">
        <v>320</v>
      </c>
      <c r="N2301" s="14">
        <v>0.36</v>
      </c>
      <c r="O2301" s="12">
        <v>130</v>
      </c>
      <c r="P2301" s="12">
        <v>210</v>
      </c>
      <c r="Q2301" s="12">
        <v>5</v>
      </c>
      <c r="R2301" s="13" t="s">
        <v>82</v>
      </c>
      <c r="S2301" s="13"/>
      <c r="T2301" s="15">
        <v>1000</v>
      </c>
      <c r="U2301" s="13" t="s">
        <v>52</v>
      </c>
      <c r="V2301" s="13" t="s">
        <v>89</v>
      </c>
      <c r="W2301" s="12">
        <v>10</v>
      </c>
      <c r="X2301" s="33" t="str">
        <f>HYPERLINK("","ссылка на книгу")</f>
        <v>ссылка на книгу</v>
      </c>
      <c r="Y2301" s="34" t="str">
        <f>HYPERLINK("https://api-enni.alpina.ru/FilePrivilegesApproval/150","https://api-enni.alpina.ru/FilePrivilegesApproval/150")</f>
        <v>https://api-enni.alpina.ru/FilePrivilegesApproval/150</v>
      </c>
      <c r="Z2301" s="13" t="s">
        <v>101</v>
      </c>
      <c r="AT2301" s="1">
        <f t="shared" ref="AT2301:AT2332" si="445">IF($A2301&lt;&gt;0,1,0)</f>
        <v>0</v>
      </c>
      <c r="AU2301" s="1">
        <f t="shared" ref="AU2301:AU2332" si="446">$A2301*$B2301</f>
        <v>0</v>
      </c>
      <c r="AV2301" s="1">
        <f t="shared" ref="AV2301:AV2332" si="447">$A2301*$N2301</f>
        <v>0</v>
      </c>
      <c r="AW2301" s="1">
        <f t="shared" ref="AW2301:AW2332" si="448">IF($Q2301=0,0,INT($A2301/$Q2301))</f>
        <v>0</v>
      </c>
      <c r="AX2301" s="1">
        <f t="shared" ref="AX2301:AX2332" si="449">$A2301-$AW2301*$Q2301</f>
        <v>0</v>
      </c>
    </row>
    <row r="2302" spans="1:50" s="1" customFormat="1" ht="21.95" customHeight="1" outlineLevel="3" x14ac:dyDescent="0.2">
      <c r="A2302" s="11"/>
      <c r="B2302" s="12">
        <v>640</v>
      </c>
      <c r="C2302" s="12">
        <v>890</v>
      </c>
      <c r="D2302" s="12">
        <v>30616</v>
      </c>
      <c r="E2302" s="13" t="s">
        <v>7510</v>
      </c>
      <c r="F2302" s="13" t="s">
        <v>7511</v>
      </c>
      <c r="G2302" s="13" t="s">
        <v>39</v>
      </c>
      <c r="H2302" s="13"/>
      <c r="I2302" s="12">
        <v>2025</v>
      </c>
      <c r="J2302" s="13" t="s">
        <v>7512</v>
      </c>
      <c r="K2302" s="12">
        <v>9785002232673</v>
      </c>
      <c r="L2302" s="13" t="s">
        <v>7513</v>
      </c>
      <c r="M2302" s="12">
        <v>346</v>
      </c>
      <c r="N2302" s="14">
        <v>0.35</v>
      </c>
      <c r="O2302" s="12">
        <v>130</v>
      </c>
      <c r="P2302" s="12">
        <v>210</v>
      </c>
      <c r="Q2302" s="12">
        <v>12</v>
      </c>
      <c r="R2302" s="13" t="s">
        <v>82</v>
      </c>
      <c r="S2302" s="13"/>
      <c r="T2302" s="15">
        <v>1500</v>
      </c>
      <c r="U2302" s="13" t="s">
        <v>52</v>
      </c>
      <c r="V2302" s="13" t="s">
        <v>89</v>
      </c>
      <c r="W2302" s="12">
        <v>20</v>
      </c>
      <c r="X2302" s="33" t="str">
        <f>HYPERLINK("https://www.alpinabook.ru/catalog/book-na-ulitse-dybenko","ссылка на книгу")</f>
        <v>ссылка на книгу</v>
      </c>
      <c r="Y2302" s="34" t="str">
        <f>HYPERLINK("","")</f>
        <v/>
      </c>
      <c r="Z2302" s="13" t="s">
        <v>277</v>
      </c>
      <c r="AT2302" s="1">
        <f t="shared" si="445"/>
        <v>0</v>
      </c>
      <c r="AU2302" s="1">
        <f t="shared" si="446"/>
        <v>0</v>
      </c>
      <c r="AV2302" s="1">
        <f t="shared" si="447"/>
        <v>0</v>
      </c>
      <c r="AW2302" s="1">
        <f t="shared" si="448"/>
        <v>0</v>
      </c>
      <c r="AX2302" s="1">
        <f t="shared" si="449"/>
        <v>0</v>
      </c>
    </row>
    <row r="2303" spans="1:50" s="1" customFormat="1" ht="24.95" customHeight="1" outlineLevel="3" x14ac:dyDescent="0.2">
      <c r="A2303" s="11"/>
      <c r="B2303" s="12">
        <v>490</v>
      </c>
      <c r="C2303" s="12">
        <v>740</v>
      </c>
      <c r="D2303" s="12">
        <v>26091</v>
      </c>
      <c r="E2303" s="13" t="s">
        <v>572</v>
      </c>
      <c r="F2303" s="13" t="s">
        <v>7514</v>
      </c>
      <c r="G2303" s="13" t="s">
        <v>39</v>
      </c>
      <c r="H2303" s="13"/>
      <c r="I2303" s="12">
        <v>2023</v>
      </c>
      <c r="J2303" s="13" t="s">
        <v>7515</v>
      </c>
      <c r="K2303" s="12">
        <v>9785001397342</v>
      </c>
      <c r="L2303" s="13" t="s">
        <v>7516</v>
      </c>
      <c r="M2303" s="12">
        <v>232</v>
      </c>
      <c r="N2303" s="14">
        <v>0.3</v>
      </c>
      <c r="O2303" s="12">
        <v>130</v>
      </c>
      <c r="P2303" s="12">
        <v>210</v>
      </c>
      <c r="Q2303" s="12">
        <v>16</v>
      </c>
      <c r="R2303" s="13" t="s">
        <v>82</v>
      </c>
      <c r="S2303" s="13"/>
      <c r="T2303" s="15">
        <v>2000</v>
      </c>
      <c r="U2303" s="13" t="s">
        <v>52</v>
      </c>
      <c r="V2303" s="13" t="s">
        <v>89</v>
      </c>
      <c r="W2303" s="12">
        <v>10</v>
      </c>
      <c r="X2303" s="33" t="str">
        <f>HYPERLINK("https://www.alpinabook.ru/catalog/book-na-etom-svete-rasskazy","ссылка на книгу")</f>
        <v>ссылка на книгу</v>
      </c>
      <c r="Y2303" s="34" t="str">
        <f>HYPERLINK("https://api-enni.alpina.ru/FilePrivilegesApproval/285","https://api-enni.alpina.ru/FilePrivilegesApproval/285")</f>
        <v>https://api-enni.alpina.ru/FilePrivilegesApproval/285</v>
      </c>
      <c r="Z2303" s="13"/>
      <c r="AT2303" s="1">
        <f t="shared" si="445"/>
        <v>0</v>
      </c>
      <c r="AU2303" s="1">
        <f t="shared" si="446"/>
        <v>0</v>
      </c>
      <c r="AV2303" s="1">
        <f t="shared" si="447"/>
        <v>0</v>
      </c>
      <c r="AW2303" s="1">
        <f t="shared" si="448"/>
        <v>0</v>
      </c>
      <c r="AX2303" s="1">
        <f t="shared" si="449"/>
        <v>0</v>
      </c>
    </row>
    <row r="2304" spans="1:50" s="1" customFormat="1" ht="24.95" customHeight="1" outlineLevel="3" x14ac:dyDescent="0.2">
      <c r="A2304" s="11"/>
      <c r="B2304" s="12">
        <v>300</v>
      </c>
      <c r="C2304" s="12">
        <v>490</v>
      </c>
      <c r="D2304" s="12">
        <v>29906</v>
      </c>
      <c r="E2304" s="13" t="s">
        <v>572</v>
      </c>
      <c r="F2304" s="13" t="s">
        <v>7517</v>
      </c>
      <c r="G2304" s="13" t="s">
        <v>39</v>
      </c>
      <c r="H2304" s="13"/>
      <c r="I2304" s="12">
        <v>2024</v>
      </c>
      <c r="J2304" s="13" t="s">
        <v>7518</v>
      </c>
      <c r="K2304" s="12">
        <v>9785002232079</v>
      </c>
      <c r="L2304" s="13" t="s">
        <v>7519</v>
      </c>
      <c r="M2304" s="12">
        <v>206</v>
      </c>
      <c r="N2304" s="14">
        <v>0.14000000000000001</v>
      </c>
      <c r="O2304" s="12">
        <v>120</v>
      </c>
      <c r="P2304" s="12">
        <v>170</v>
      </c>
      <c r="Q2304" s="12">
        <v>8</v>
      </c>
      <c r="R2304" s="13" t="s">
        <v>75</v>
      </c>
      <c r="S2304" s="13" t="s">
        <v>7186</v>
      </c>
      <c r="T2304" s="15">
        <v>4000</v>
      </c>
      <c r="U2304" s="13" t="s">
        <v>44</v>
      </c>
      <c r="V2304" s="13" t="s">
        <v>89</v>
      </c>
      <c r="W2304" s="12">
        <v>10</v>
      </c>
      <c r="X2304" s="33" t="str">
        <f>HYPERLINK("https://www.alpinabook.ru/catalog/book-na-etom-svete-rasskazy","ссылка на книгу")</f>
        <v>ссылка на книгу</v>
      </c>
      <c r="Y2304" s="34" t="str">
        <f>HYPERLINK("https://api-enni.alpina.ru/FilePrivilegesApproval/285","https://api-enni.alpina.ru/FilePrivilegesApproval/285")</f>
        <v>https://api-enni.alpina.ru/FilePrivilegesApproval/285</v>
      </c>
      <c r="Z2304" s="13"/>
      <c r="AT2304" s="1">
        <f t="shared" si="445"/>
        <v>0</v>
      </c>
      <c r="AU2304" s="1">
        <f t="shared" si="446"/>
        <v>0</v>
      </c>
      <c r="AV2304" s="1">
        <f t="shared" si="447"/>
        <v>0</v>
      </c>
      <c r="AW2304" s="1">
        <f t="shared" si="448"/>
        <v>0</v>
      </c>
      <c r="AX2304" s="1">
        <f t="shared" si="449"/>
        <v>0</v>
      </c>
    </row>
    <row r="2305" spans="1:50" s="1" customFormat="1" ht="24.95" customHeight="1" outlineLevel="3" x14ac:dyDescent="0.2">
      <c r="A2305" s="11"/>
      <c r="B2305" s="12">
        <v>690</v>
      </c>
      <c r="C2305" s="12">
        <v>790</v>
      </c>
      <c r="D2305" s="12">
        <v>26087</v>
      </c>
      <c r="E2305" s="13" t="s">
        <v>6500</v>
      </c>
      <c r="F2305" s="13" t="s">
        <v>7520</v>
      </c>
      <c r="G2305" s="13" t="s">
        <v>39</v>
      </c>
      <c r="H2305" s="13"/>
      <c r="I2305" s="12">
        <v>2022</v>
      </c>
      <c r="J2305" s="13" t="s">
        <v>7521</v>
      </c>
      <c r="K2305" s="12">
        <v>9785001397311</v>
      </c>
      <c r="L2305" s="13" t="s">
        <v>7522</v>
      </c>
      <c r="M2305" s="12">
        <v>464</v>
      </c>
      <c r="N2305" s="14">
        <v>0.6</v>
      </c>
      <c r="O2305" s="12">
        <v>146</v>
      </c>
      <c r="P2305" s="12">
        <v>216</v>
      </c>
      <c r="Q2305" s="12">
        <v>8</v>
      </c>
      <c r="R2305" s="13" t="s">
        <v>43</v>
      </c>
      <c r="S2305" s="13"/>
      <c r="T2305" s="15">
        <v>3000</v>
      </c>
      <c r="U2305" s="13" t="s">
        <v>52</v>
      </c>
      <c r="V2305" s="13" t="s">
        <v>89</v>
      </c>
      <c r="W2305" s="12">
        <v>10</v>
      </c>
      <c r="X2305" s="33" t="str">
        <f>HYPERLINK("https://www.alpinabook.ru/catalog/book-nashestvie","ссылка на книгу")</f>
        <v>ссылка на книгу</v>
      </c>
      <c r="Y2305" s="34" t="str">
        <f>HYPERLINK("https://api-enni.alpina.ru/FilePrivilegesApproval/190","https://api-enni.alpina.ru/FilePrivilegesApproval/190")</f>
        <v>https://api-enni.alpina.ru/FilePrivilegesApproval/190</v>
      </c>
      <c r="Z2305" s="13"/>
      <c r="AT2305" s="1">
        <f t="shared" si="445"/>
        <v>0</v>
      </c>
      <c r="AU2305" s="1">
        <f t="shared" si="446"/>
        <v>0</v>
      </c>
      <c r="AV2305" s="1">
        <f t="shared" si="447"/>
        <v>0</v>
      </c>
      <c r="AW2305" s="1">
        <f t="shared" si="448"/>
        <v>0</v>
      </c>
      <c r="AX2305" s="1">
        <f t="shared" si="449"/>
        <v>0</v>
      </c>
    </row>
    <row r="2306" spans="1:50" s="1" customFormat="1" ht="24.95" customHeight="1" outlineLevel="3" x14ac:dyDescent="0.2">
      <c r="A2306" s="11"/>
      <c r="B2306" s="12">
        <v>340</v>
      </c>
      <c r="C2306" s="12">
        <v>540</v>
      </c>
      <c r="D2306" s="12">
        <v>28306</v>
      </c>
      <c r="E2306" s="13" t="s">
        <v>6500</v>
      </c>
      <c r="F2306" s="13" t="s">
        <v>7523</v>
      </c>
      <c r="G2306" s="13" t="s">
        <v>39</v>
      </c>
      <c r="H2306" s="13"/>
      <c r="I2306" s="12">
        <v>2023</v>
      </c>
      <c r="J2306" s="13" t="s">
        <v>7524</v>
      </c>
      <c r="K2306" s="12">
        <v>9785002230075</v>
      </c>
      <c r="L2306" s="13" t="s">
        <v>7525</v>
      </c>
      <c r="M2306" s="12">
        <v>544</v>
      </c>
      <c r="N2306" s="14">
        <v>0.3</v>
      </c>
      <c r="O2306" s="12">
        <v>120</v>
      </c>
      <c r="P2306" s="12">
        <v>170</v>
      </c>
      <c r="Q2306" s="12">
        <v>6</v>
      </c>
      <c r="R2306" s="13" t="s">
        <v>75</v>
      </c>
      <c r="S2306" s="13" t="s">
        <v>7186</v>
      </c>
      <c r="T2306" s="15">
        <v>4000</v>
      </c>
      <c r="U2306" s="13" t="s">
        <v>44</v>
      </c>
      <c r="V2306" s="13" t="s">
        <v>89</v>
      </c>
      <c r="W2306" s="12">
        <v>10</v>
      </c>
      <c r="X2306" s="33" t="str">
        <f>HYPERLINK("https://www.alpinabook.ru/catalog/book-nashestvie","ссылка на книгу")</f>
        <v>ссылка на книгу</v>
      </c>
      <c r="Y2306" s="34" t="str">
        <f>HYPERLINK("https://api-enni.alpina.ru/FilePrivilegesApproval/190","https://api-enni.alpina.ru/FilePrivilegesApproval/190")</f>
        <v>https://api-enni.alpina.ru/FilePrivilegesApproval/190</v>
      </c>
      <c r="Z2306" s="13"/>
      <c r="AT2306" s="1">
        <f t="shared" si="445"/>
        <v>0</v>
      </c>
      <c r="AU2306" s="1">
        <f t="shared" si="446"/>
        <v>0</v>
      </c>
      <c r="AV2306" s="1">
        <f t="shared" si="447"/>
        <v>0</v>
      </c>
      <c r="AW2306" s="1">
        <f t="shared" si="448"/>
        <v>0</v>
      </c>
      <c r="AX2306" s="1">
        <f t="shared" si="449"/>
        <v>0</v>
      </c>
    </row>
    <row r="2307" spans="1:50" s="1" customFormat="1" ht="21.95" customHeight="1" outlineLevel="3" x14ac:dyDescent="0.2">
      <c r="A2307" s="11"/>
      <c r="B2307" s="12">
        <v>490</v>
      </c>
      <c r="C2307" s="12">
        <v>740</v>
      </c>
      <c r="D2307" s="12">
        <v>26820</v>
      </c>
      <c r="E2307" s="13" t="s">
        <v>7526</v>
      </c>
      <c r="F2307" s="13" t="s">
        <v>7527</v>
      </c>
      <c r="G2307" s="13" t="s">
        <v>39</v>
      </c>
      <c r="H2307" s="13"/>
      <c r="I2307" s="12">
        <v>2023</v>
      </c>
      <c r="J2307" s="13" t="s">
        <v>7528</v>
      </c>
      <c r="K2307" s="12">
        <v>9785001398424</v>
      </c>
      <c r="L2307" s="13" t="s">
        <v>7529</v>
      </c>
      <c r="M2307" s="12">
        <v>344</v>
      </c>
      <c r="N2307" s="14">
        <v>0.3</v>
      </c>
      <c r="O2307" s="12">
        <v>130</v>
      </c>
      <c r="P2307" s="12">
        <v>200</v>
      </c>
      <c r="Q2307" s="12">
        <v>18</v>
      </c>
      <c r="R2307" s="13" t="s">
        <v>82</v>
      </c>
      <c r="S2307" s="13"/>
      <c r="T2307" s="15">
        <v>1500</v>
      </c>
      <c r="U2307" s="13" t="s">
        <v>44</v>
      </c>
      <c r="V2307" s="13" t="s">
        <v>89</v>
      </c>
      <c r="W2307" s="12">
        <v>20</v>
      </c>
      <c r="X2307" s="33" t="str">
        <f>HYPERLINK("https://www.alpinabook.ru/catalog/book-ne-govori-o-nyem","ссылка на книгу")</f>
        <v>ссылка на книгу</v>
      </c>
      <c r="Y2307" s="34" t="str">
        <f>HYPERLINK("","")</f>
        <v/>
      </c>
      <c r="Z2307" s="13"/>
      <c r="AT2307" s="1">
        <f t="shared" si="445"/>
        <v>0</v>
      </c>
      <c r="AU2307" s="1">
        <f t="shared" si="446"/>
        <v>0</v>
      </c>
      <c r="AV2307" s="1">
        <f t="shared" si="447"/>
        <v>0</v>
      </c>
      <c r="AW2307" s="1">
        <f t="shared" si="448"/>
        <v>0</v>
      </c>
      <c r="AX2307" s="1">
        <f t="shared" si="449"/>
        <v>0</v>
      </c>
    </row>
    <row r="2308" spans="1:50" s="1" customFormat="1" ht="24.95" customHeight="1" outlineLevel="3" x14ac:dyDescent="0.2">
      <c r="A2308" s="11"/>
      <c r="B2308" s="12">
        <v>340</v>
      </c>
      <c r="C2308" s="12">
        <v>540</v>
      </c>
      <c r="D2308" s="12">
        <v>28171</v>
      </c>
      <c r="E2308" s="13" t="s">
        <v>6500</v>
      </c>
      <c r="F2308" s="13" t="s">
        <v>7530</v>
      </c>
      <c r="G2308" s="13" t="s">
        <v>39</v>
      </c>
      <c r="H2308" s="13"/>
      <c r="I2308" s="12">
        <v>2024</v>
      </c>
      <c r="J2308" s="13" t="s">
        <v>7531</v>
      </c>
      <c r="K2308" s="12">
        <v>9785916713596</v>
      </c>
      <c r="L2308" s="13" t="s">
        <v>7532</v>
      </c>
      <c r="M2308" s="12">
        <v>317</v>
      </c>
      <c r="N2308" s="14">
        <v>0.21</v>
      </c>
      <c r="O2308" s="12">
        <v>120</v>
      </c>
      <c r="P2308" s="12">
        <v>170</v>
      </c>
      <c r="Q2308" s="12">
        <v>6</v>
      </c>
      <c r="R2308" s="13" t="s">
        <v>75</v>
      </c>
      <c r="S2308" s="13" t="s">
        <v>7332</v>
      </c>
      <c r="T2308" s="15">
        <v>4000</v>
      </c>
      <c r="U2308" s="13" t="s">
        <v>44</v>
      </c>
      <c r="V2308" s="13" t="s">
        <v>89</v>
      </c>
      <c r="W2308" s="12">
        <v>10</v>
      </c>
      <c r="X2308" s="33" t="str">
        <f>HYPERLINK("https://www.alpinabook.ru/catalog/book-nebo-v-almazakh","ссылка на книгу")</f>
        <v>ссылка на книгу</v>
      </c>
      <c r="Y2308" s="34" t="str">
        <f>HYPERLINK("https://api-enni.alpina.ru/FilePrivilegesApproval/378","https://api-enni.alpina.ru/FilePrivilegesApproval/378")</f>
        <v>https://api-enni.alpina.ru/FilePrivilegesApproval/378</v>
      </c>
      <c r="Z2308" s="13"/>
      <c r="AT2308" s="1">
        <f t="shared" si="445"/>
        <v>0</v>
      </c>
      <c r="AU2308" s="1">
        <f t="shared" si="446"/>
        <v>0</v>
      </c>
      <c r="AV2308" s="1">
        <f t="shared" si="447"/>
        <v>0</v>
      </c>
      <c r="AW2308" s="1">
        <f t="shared" si="448"/>
        <v>0</v>
      </c>
      <c r="AX2308" s="1">
        <f t="shared" si="449"/>
        <v>0</v>
      </c>
    </row>
    <row r="2309" spans="1:50" s="1" customFormat="1" ht="24.95" customHeight="1" outlineLevel="3" x14ac:dyDescent="0.2">
      <c r="A2309" s="11"/>
      <c r="B2309" s="12">
        <v>790</v>
      </c>
      <c r="C2309" s="15">
        <v>1090</v>
      </c>
      <c r="D2309" s="12">
        <v>25361</v>
      </c>
      <c r="E2309" s="13" t="s">
        <v>339</v>
      </c>
      <c r="F2309" s="13" t="s">
        <v>7533</v>
      </c>
      <c r="G2309" s="13" t="s">
        <v>39</v>
      </c>
      <c r="H2309" s="13"/>
      <c r="I2309" s="12">
        <v>2024</v>
      </c>
      <c r="J2309" s="13" t="s">
        <v>7534</v>
      </c>
      <c r="K2309" s="12">
        <v>9785001397021</v>
      </c>
      <c r="L2309" s="13" t="s">
        <v>7535</v>
      </c>
      <c r="M2309" s="12">
        <v>566</v>
      </c>
      <c r="N2309" s="14">
        <v>0.66</v>
      </c>
      <c r="O2309" s="12">
        <v>150</v>
      </c>
      <c r="P2309" s="12">
        <v>220</v>
      </c>
      <c r="Q2309" s="12">
        <v>6</v>
      </c>
      <c r="R2309" s="13" t="s">
        <v>43</v>
      </c>
      <c r="S2309" s="13"/>
      <c r="T2309" s="15">
        <v>1000</v>
      </c>
      <c r="U2309" s="13" t="s">
        <v>52</v>
      </c>
      <c r="V2309" s="13" t="s">
        <v>89</v>
      </c>
      <c r="W2309" s="12">
        <v>10</v>
      </c>
      <c r="X2309" s="33" t="str">
        <f>HYPERLINK("https://www.alpinabook.ru/catalog/book-nenaste","ссылка на книгу")</f>
        <v>ссылка на книгу</v>
      </c>
      <c r="Y2309" s="34" t="str">
        <f>HYPERLINK("https://api-enni.alpina.ru/FilePrivilegesApproval/190","https://api-enni.alpina.ru/FilePrivilegesApproval/190")</f>
        <v>https://api-enni.alpina.ru/FilePrivilegesApproval/190</v>
      </c>
      <c r="Z2309" s="13"/>
      <c r="AT2309" s="1">
        <f t="shared" si="445"/>
        <v>0</v>
      </c>
      <c r="AU2309" s="1">
        <f t="shared" si="446"/>
        <v>0</v>
      </c>
      <c r="AV2309" s="1">
        <f t="shared" si="447"/>
        <v>0</v>
      </c>
      <c r="AW2309" s="1">
        <f t="shared" si="448"/>
        <v>0</v>
      </c>
      <c r="AX2309" s="1">
        <f t="shared" si="449"/>
        <v>0</v>
      </c>
    </row>
    <row r="2310" spans="1:50" s="1" customFormat="1" ht="24.95" customHeight="1" outlineLevel="3" x14ac:dyDescent="0.2">
      <c r="A2310" s="11"/>
      <c r="B2310" s="12">
        <v>340</v>
      </c>
      <c r="C2310" s="12">
        <v>590</v>
      </c>
      <c r="D2310" s="12">
        <v>29067</v>
      </c>
      <c r="E2310" s="13" t="s">
        <v>339</v>
      </c>
      <c r="F2310" s="13" t="s">
        <v>7536</v>
      </c>
      <c r="G2310" s="13" t="s">
        <v>39</v>
      </c>
      <c r="H2310" s="13"/>
      <c r="I2310" s="12">
        <v>2024</v>
      </c>
      <c r="J2310" s="13" t="s">
        <v>7537</v>
      </c>
      <c r="K2310" s="12">
        <v>9785002230952</v>
      </c>
      <c r="L2310" s="13" t="s">
        <v>7538</v>
      </c>
      <c r="M2310" s="12">
        <v>672</v>
      </c>
      <c r="N2310" s="14">
        <v>0.4</v>
      </c>
      <c r="O2310" s="12">
        <v>120</v>
      </c>
      <c r="P2310" s="12">
        <v>170</v>
      </c>
      <c r="Q2310" s="12">
        <v>4</v>
      </c>
      <c r="R2310" s="13" t="s">
        <v>75</v>
      </c>
      <c r="S2310" s="13" t="s">
        <v>7186</v>
      </c>
      <c r="T2310" s="15">
        <v>4000</v>
      </c>
      <c r="U2310" s="13" t="s">
        <v>44</v>
      </c>
      <c r="V2310" s="13" t="s">
        <v>89</v>
      </c>
      <c r="W2310" s="12">
        <v>10</v>
      </c>
      <c r="X2310" s="33" t="str">
        <f>HYPERLINK("https://www.alpinabook.ru/catalog/book-nenaste","ссылка на книгу")</f>
        <v>ссылка на книгу</v>
      </c>
      <c r="Y2310" s="34" t="str">
        <f>HYPERLINK("https://api-enni.alpina.ru/FilePrivilegesApproval/190","https://api-enni.alpina.ru/FilePrivilegesApproval/190")</f>
        <v>https://api-enni.alpina.ru/FilePrivilegesApproval/190</v>
      </c>
      <c r="Z2310" s="13"/>
      <c r="AT2310" s="1">
        <f t="shared" si="445"/>
        <v>0</v>
      </c>
      <c r="AU2310" s="1">
        <f t="shared" si="446"/>
        <v>0</v>
      </c>
      <c r="AV2310" s="1">
        <f t="shared" si="447"/>
        <v>0</v>
      </c>
      <c r="AW2310" s="1">
        <f t="shared" si="448"/>
        <v>0</v>
      </c>
      <c r="AX2310" s="1">
        <f t="shared" si="449"/>
        <v>0</v>
      </c>
    </row>
    <row r="2311" spans="1:50" s="1" customFormat="1" ht="21.95" customHeight="1" outlineLevel="3" x14ac:dyDescent="0.2">
      <c r="A2311" s="11"/>
      <c r="B2311" s="12">
        <v>690</v>
      </c>
      <c r="C2311" s="12">
        <v>990</v>
      </c>
      <c r="D2311" s="12">
        <v>31717</v>
      </c>
      <c r="E2311" s="13" t="s">
        <v>128</v>
      </c>
      <c r="F2311" s="13" t="s">
        <v>129</v>
      </c>
      <c r="G2311" s="13" t="s">
        <v>39</v>
      </c>
      <c r="H2311" s="13"/>
      <c r="I2311" s="12">
        <v>2025</v>
      </c>
      <c r="J2311" s="13" t="s">
        <v>130</v>
      </c>
      <c r="K2311" s="12">
        <v>9785002234103</v>
      </c>
      <c r="L2311" s="13" t="s">
        <v>131</v>
      </c>
      <c r="M2311" s="12">
        <v>410</v>
      </c>
      <c r="N2311" s="14">
        <v>0.39</v>
      </c>
      <c r="O2311" s="12">
        <v>140</v>
      </c>
      <c r="P2311" s="12">
        <v>210</v>
      </c>
      <c r="Q2311" s="12">
        <v>10</v>
      </c>
      <c r="R2311" s="13" t="s">
        <v>82</v>
      </c>
      <c r="S2311" s="13"/>
      <c r="T2311" s="15">
        <v>2000</v>
      </c>
      <c r="U2311" s="13" t="s">
        <v>52</v>
      </c>
      <c r="V2311" s="13" t="s">
        <v>89</v>
      </c>
      <c r="W2311" s="12">
        <v>20</v>
      </c>
      <c r="X2311" s="33" t="str">
        <f>HYPERLINK("https://www.alpinabook.ru/catalog/book-nepokoi","ссылка на книгу")</f>
        <v>ссылка на книгу</v>
      </c>
      <c r="Y2311" s="34" t="str">
        <f>HYPERLINK("","")</f>
        <v/>
      </c>
      <c r="Z2311" s="13" t="s">
        <v>132</v>
      </c>
      <c r="AT2311" s="1">
        <f t="shared" si="445"/>
        <v>0</v>
      </c>
      <c r="AU2311" s="1">
        <f t="shared" si="446"/>
        <v>0</v>
      </c>
      <c r="AV2311" s="1">
        <f t="shared" si="447"/>
        <v>0</v>
      </c>
      <c r="AW2311" s="1">
        <f t="shared" si="448"/>
        <v>0</v>
      </c>
      <c r="AX2311" s="1">
        <f t="shared" si="449"/>
        <v>0</v>
      </c>
    </row>
    <row r="2312" spans="1:50" s="1" customFormat="1" ht="24.95" customHeight="1" outlineLevel="3" x14ac:dyDescent="0.2">
      <c r="A2312" s="11"/>
      <c r="B2312" s="12">
        <v>590</v>
      </c>
      <c r="C2312" s="12">
        <v>840</v>
      </c>
      <c r="D2312" s="12">
        <v>23914</v>
      </c>
      <c r="E2312" s="13" t="s">
        <v>339</v>
      </c>
      <c r="F2312" s="13" t="s">
        <v>7539</v>
      </c>
      <c r="G2312" s="13" t="s">
        <v>39</v>
      </c>
      <c r="H2312" s="13"/>
      <c r="I2312" s="12">
        <v>2021</v>
      </c>
      <c r="J2312" s="13" t="s">
        <v>7540</v>
      </c>
      <c r="K2312" s="12">
        <v>9785001395164</v>
      </c>
      <c r="L2312" s="13" t="s">
        <v>7541</v>
      </c>
      <c r="M2312" s="12">
        <v>288</v>
      </c>
      <c r="N2312" s="14">
        <v>0.49</v>
      </c>
      <c r="O2312" s="12">
        <v>145</v>
      </c>
      <c r="P2312" s="12">
        <v>216</v>
      </c>
      <c r="Q2312" s="12">
        <v>12</v>
      </c>
      <c r="R2312" s="13" t="s">
        <v>43</v>
      </c>
      <c r="S2312" s="13"/>
      <c r="T2312" s="15">
        <v>20000</v>
      </c>
      <c r="U2312" s="13" t="s">
        <v>52</v>
      </c>
      <c r="V2312" s="13" t="s">
        <v>89</v>
      </c>
      <c r="W2312" s="12">
        <v>10</v>
      </c>
      <c r="X2312" s="33" t="str">
        <f>HYPERLINK("https://www.alpinabook.ru/catalog/book-obshchaga-na-krovi","ссылка на книгу")</f>
        <v>ссылка на книгу</v>
      </c>
      <c r="Y2312" s="34" t="str">
        <f>HYPERLINK("https://api-enni.alpina.ru/FilePrivilegesApproval/149","https://api-enni.alpina.ru/FilePrivilegesApproval/149")</f>
        <v>https://api-enni.alpina.ru/FilePrivilegesApproval/149</v>
      </c>
      <c r="Z2312" s="13"/>
      <c r="AT2312" s="1">
        <f t="shared" si="445"/>
        <v>0</v>
      </c>
      <c r="AU2312" s="1">
        <f t="shared" si="446"/>
        <v>0</v>
      </c>
      <c r="AV2312" s="1">
        <f t="shared" si="447"/>
        <v>0</v>
      </c>
      <c r="AW2312" s="1">
        <f t="shared" si="448"/>
        <v>0</v>
      </c>
      <c r="AX2312" s="1">
        <f t="shared" si="449"/>
        <v>0</v>
      </c>
    </row>
    <row r="2313" spans="1:50" s="1" customFormat="1" ht="21.95" customHeight="1" outlineLevel="3" x14ac:dyDescent="0.2">
      <c r="A2313" s="11"/>
      <c r="B2313" s="12">
        <v>590</v>
      </c>
      <c r="C2313" s="12">
        <v>840</v>
      </c>
      <c r="D2313" s="12">
        <v>29556</v>
      </c>
      <c r="E2313" s="13" t="s">
        <v>7542</v>
      </c>
      <c r="F2313" s="13" t="s">
        <v>7543</v>
      </c>
      <c r="G2313" s="13" t="s">
        <v>39</v>
      </c>
      <c r="H2313" s="13"/>
      <c r="I2313" s="12">
        <v>2024</v>
      </c>
      <c r="J2313" s="13" t="s">
        <v>7544</v>
      </c>
      <c r="K2313" s="12">
        <v>9785002231560</v>
      </c>
      <c r="L2313" s="13" t="s">
        <v>7545</v>
      </c>
      <c r="M2313" s="12">
        <v>176</v>
      </c>
      <c r="N2313" s="14">
        <v>0.2</v>
      </c>
      <c r="O2313" s="12">
        <v>130</v>
      </c>
      <c r="P2313" s="12">
        <v>210</v>
      </c>
      <c r="Q2313" s="12">
        <v>16</v>
      </c>
      <c r="R2313" s="13" t="s">
        <v>82</v>
      </c>
      <c r="S2313" s="13"/>
      <c r="T2313" s="15">
        <v>3000</v>
      </c>
      <c r="U2313" s="13" t="s">
        <v>52</v>
      </c>
      <c r="V2313" s="13" t="s">
        <v>89</v>
      </c>
      <c r="W2313" s="12">
        <v>20</v>
      </c>
      <c r="X2313" s="33" t="str">
        <f>HYPERLINK("https://www.alpinabook.ru/catalog/book-odin-malenkiy-nochnoy-sekret","ссылка на книгу")</f>
        <v>ссылка на книгу</v>
      </c>
      <c r="Y2313" s="34" t="str">
        <f>HYPERLINK("","")</f>
        <v/>
      </c>
      <c r="Z2313" s="13"/>
      <c r="AT2313" s="1">
        <f t="shared" si="445"/>
        <v>0</v>
      </c>
      <c r="AU2313" s="1">
        <f t="shared" si="446"/>
        <v>0</v>
      </c>
      <c r="AV2313" s="1">
        <f t="shared" si="447"/>
        <v>0</v>
      </c>
      <c r="AW2313" s="1">
        <f t="shared" si="448"/>
        <v>0</v>
      </c>
      <c r="AX2313" s="1">
        <f t="shared" si="449"/>
        <v>0</v>
      </c>
    </row>
    <row r="2314" spans="1:50" s="1" customFormat="1" ht="24.95" customHeight="1" outlineLevel="3" x14ac:dyDescent="0.2">
      <c r="A2314" s="11"/>
      <c r="B2314" s="12">
        <v>590</v>
      </c>
      <c r="C2314" s="12">
        <v>840</v>
      </c>
      <c r="D2314" s="12">
        <v>26092</v>
      </c>
      <c r="E2314" s="13" t="s">
        <v>7160</v>
      </c>
      <c r="F2314" s="13" t="s">
        <v>7546</v>
      </c>
      <c r="G2314" s="13" t="s">
        <v>39</v>
      </c>
      <c r="H2314" s="13"/>
      <c r="I2314" s="12">
        <v>2025</v>
      </c>
      <c r="J2314" s="13" t="s">
        <v>7547</v>
      </c>
      <c r="K2314" s="12">
        <v>9785001397366</v>
      </c>
      <c r="L2314" s="13" t="s">
        <v>7548</v>
      </c>
      <c r="M2314" s="12">
        <v>216</v>
      </c>
      <c r="N2314" s="14">
        <v>0.35</v>
      </c>
      <c r="O2314" s="12">
        <v>150</v>
      </c>
      <c r="P2314" s="12">
        <v>220</v>
      </c>
      <c r="Q2314" s="12">
        <v>10</v>
      </c>
      <c r="R2314" s="13" t="s">
        <v>43</v>
      </c>
      <c r="S2314" s="13"/>
      <c r="T2314" s="15">
        <v>1000</v>
      </c>
      <c r="U2314" s="13" t="s">
        <v>52</v>
      </c>
      <c r="V2314" s="13" t="s">
        <v>45</v>
      </c>
      <c r="W2314" s="12">
        <v>10</v>
      </c>
      <c r="X2314" s="33" t="str">
        <f>HYPERLINK("https://www.alpinabook.ru/catalog/book-odinokoe-puteshestvie-nakanune-zimy","ссылка на книгу")</f>
        <v>ссылка на книгу</v>
      </c>
      <c r="Y2314" s="34" t="str">
        <f>HYPERLINK("https://api-enni.alpina.ru/FilePrivilegesApproval/171","https://api-enni.alpina.ru/FilePrivilegesApproval/171")</f>
        <v>https://api-enni.alpina.ru/FilePrivilegesApproval/171</v>
      </c>
      <c r="Z2314" s="13" t="s">
        <v>847</v>
      </c>
      <c r="AT2314" s="1">
        <f t="shared" si="445"/>
        <v>0</v>
      </c>
      <c r="AU2314" s="1">
        <f t="shared" si="446"/>
        <v>0</v>
      </c>
      <c r="AV2314" s="1">
        <f t="shared" si="447"/>
        <v>0</v>
      </c>
      <c r="AW2314" s="1">
        <f t="shared" si="448"/>
        <v>0</v>
      </c>
      <c r="AX2314" s="1">
        <f t="shared" si="449"/>
        <v>0</v>
      </c>
    </row>
    <row r="2315" spans="1:50" s="1" customFormat="1" ht="24.95" customHeight="1" outlineLevel="3" x14ac:dyDescent="0.2">
      <c r="A2315" s="11"/>
      <c r="B2315" s="12">
        <v>490</v>
      </c>
      <c r="C2315" s="12">
        <v>740</v>
      </c>
      <c r="D2315" s="12">
        <v>27307</v>
      </c>
      <c r="E2315" s="13" t="s">
        <v>128</v>
      </c>
      <c r="F2315" s="13" t="s">
        <v>7549</v>
      </c>
      <c r="G2315" s="13" t="s">
        <v>39</v>
      </c>
      <c r="H2315" s="13"/>
      <c r="I2315" s="12">
        <v>2023</v>
      </c>
      <c r="J2315" s="13" t="s">
        <v>7550</v>
      </c>
      <c r="K2315" s="12">
        <v>9785001399131</v>
      </c>
      <c r="L2315" s="13" t="s">
        <v>7551</v>
      </c>
      <c r="M2315" s="12">
        <v>416</v>
      </c>
      <c r="N2315" s="14">
        <v>0.35</v>
      </c>
      <c r="O2315" s="12">
        <v>130</v>
      </c>
      <c r="P2315" s="12">
        <v>200</v>
      </c>
      <c r="Q2315" s="12">
        <v>14</v>
      </c>
      <c r="R2315" s="13" t="s">
        <v>82</v>
      </c>
      <c r="S2315" s="13"/>
      <c r="T2315" s="15">
        <v>1500</v>
      </c>
      <c r="U2315" s="13" t="s">
        <v>44</v>
      </c>
      <c r="V2315" s="13" t="s">
        <v>89</v>
      </c>
      <c r="W2315" s="12">
        <v>10</v>
      </c>
      <c r="X2315" s="33" t="str">
        <f>HYPERLINK("https://www.alpinabook.ru/catalog/book-odinochka","ссылка на книгу")</f>
        <v>ссылка на книгу</v>
      </c>
      <c r="Y2315" s="34" t="str">
        <f>HYPERLINK("https://api-enni.alpina.ru/FilePrivilegesApproval/289","https://api-enni.alpina.ru/FilePrivilegesApproval/289")</f>
        <v>https://api-enni.alpina.ru/FilePrivilegesApproval/289</v>
      </c>
      <c r="Z2315" s="13"/>
      <c r="AT2315" s="1">
        <f t="shared" si="445"/>
        <v>0</v>
      </c>
      <c r="AU2315" s="1">
        <f t="shared" si="446"/>
        <v>0</v>
      </c>
      <c r="AV2315" s="1">
        <f t="shared" si="447"/>
        <v>0</v>
      </c>
      <c r="AW2315" s="1">
        <f t="shared" si="448"/>
        <v>0</v>
      </c>
      <c r="AX2315" s="1">
        <f t="shared" si="449"/>
        <v>0</v>
      </c>
    </row>
    <row r="2316" spans="1:50" s="1" customFormat="1" ht="24.95" customHeight="1" outlineLevel="3" x14ac:dyDescent="0.2">
      <c r="A2316" s="11"/>
      <c r="B2316" s="12">
        <v>540</v>
      </c>
      <c r="C2316" s="12">
        <v>540</v>
      </c>
      <c r="D2316" s="12">
        <v>26089</v>
      </c>
      <c r="E2316" s="13" t="s">
        <v>7552</v>
      </c>
      <c r="F2316" s="13" t="s">
        <v>7553</v>
      </c>
      <c r="G2316" s="13" t="s">
        <v>39</v>
      </c>
      <c r="H2316" s="13"/>
      <c r="I2316" s="12">
        <v>2023</v>
      </c>
      <c r="J2316" s="13" t="s">
        <v>7554</v>
      </c>
      <c r="K2316" s="12">
        <v>9785001397335</v>
      </c>
      <c r="L2316" s="13" t="s">
        <v>7555</v>
      </c>
      <c r="M2316" s="12">
        <v>288</v>
      </c>
      <c r="N2316" s="14">
        <v>0.28000000000000003</v>
      </c>
      <c r="O2316" s="12">
        <v>120</v>
      </c>
      <c r="P2316" s="12">
        <v>180</v>
      </c>
      <c r="Q2316" s="12">
        <v>16</v>
      </c>
      <c r="R2316" s="13" t="s">
        <v>75</v>
      </c>
      <c r="S2316" s="13"/>
      <c r="T2316" s="15">
        <v>1500</v>
      </c>
      <c r="U2316" s="13" t="s">
        <v>52</v>
      </c>
      <c r="V2316" s="13" t="s">
        <v>89</v>
      </c>
      <c r="W2316" s="12">
        <v>10</v>
      </c>
      <c r="X2316" s="33" t="str">
        <f>HYPERLINK("https://www.alpinabook.ru/catalog/book-okolitsy-vavilona","ссылка на книгу")</f>
        <v>ссылка на книгу</v>
      </c>
      <c r="Y2316" s="34" t="str">
        <f>HYPERLINK("https://api-enni.alpina.ru/FilePrivilegesApproval/185","https://api-enni.alpina.ru/FilePrivilegesApproval/185")</f>
        <v>https://api-enni.alpina.ru/FilePrivilegesApproval/185</v>
      </c>
      <c r="Z2316" s="13"/>
      <c r="AT2316" s="1">
        <f t="shared" si="445"/>
        <v>0</v>
      </c>
      <c r="AU2316" s="1">
        <f t="shared" si="446"/>
        <v>0</v>
      </c>
      <c r="AV2316" s="1">
        <f t="shared" si="447"/>
        <v>0</v>
      </c>
      <c r="AW2316" s="1">
        <f t="shared" si="448"/>
        <v>0</v>
      </c>
      <c r="AX2316" s="1">
        <f t="shared" si="449"/>
        <v>0</v>
      </c>
    </row>
    <row r="2317" spans="1:50" s="1" customFormat="1" ht="21.95" customHeight="1" outlineLevel="3" x14ac:dyDescent="0.2">
      <c r="A2317" s="11"/>
      <c r="B2317" s="12">
        <v>690</v>
      </c>
      <c r="C2317" s="12">
        <v>890</v>
      </c>
      <c r="D2317" s="12">
        <v>32934</v>
      </c>
      <c r="E2317" s="13" t="s">
        <v>143</v>
      </c>
      <c r="F2317" s="13" t="s">
        <v>144</v>
      </c>
      <c r="G2317" s="13" t="s">
        <v>39</v>
      </c>
      <c r="H2317" s="13"/>
      <c r="I2317" s="12">
        <v>2025</v>
      </c>
      <c r="J2317" s="13" t="s">
        <v>145</v>
      </c>
      <c r="K2317" s="12">
        <v>9785002235308</v>
      </c>
      <c r="L2317" s="13" t="s">
        <v>146</v>
      </c>
      <c r="M2317" s="12">
        <v>282</v>
      </c>
      <c r="N2317" s="14">
        <v>0.3</v>
      </c>
      <c r="O2317" s="12">
        <v>140</v>
      </c>
      <c r="P2317" s="12">
        <v>210</v>
      </c>
      <c r="Q2317" s="12">
        <v>10</v>
      </c>
      <c r="R2317" s="13" t="s">
        <v>82</v>
      </c>
      <c r="S2317" s="13"/>
      <c r="T2317" s="15">
        <v>2000</v>
      </c>
      <c r="U2317" s="13" t="s">
        <v>52</v>
      </c>
      <c r="V2317" s="13" t="s">
        <v>89</v>
      </c>
      <c r="W2317" s="12">
        <v>20</v>
      </c>
      <c r="X2317" s="33" t="str">
        <f>HYPERLINK("https://www.alpinabook.ru/catalog/book-ostanovka-grachey-po-puti-na-yug","ссылка на книгу")</f>
        <v>ссылка на книгу</v>
      </c>
      <c r="Y2317" s="34" t="str">
        <f>HYPERLINK("","")</f>
        <v/>
      </c>
      <c r="Z2317" s="13" t="s">
        <v>83</v>
      </c>
      <c r="AT2317" s="1">
        <f t="shared" si="445"/>
        <v>0</v>
      </c>
      <c r="AU2317" s="1">
        <f t="shared" si="446"/>
        <v>0</v>
      </c>
      <c r="AV2317" s="1">
        <f t="shared" si="447"/>
        <v>0</v>
      </c>
      <c r="AW2317" s="1">
        <f t="shared" si="448"/>
        <v>0</v>
      </c>
      <c r="AX2317" s="1">
        <f t="shared" si="449"/>
        <v>0</v>
      </c>
    </row>
    <row r="2318" spans="1:50" s="1" customFormat="1" ht="24.95" customHeight="1" outlineLevel="3" x14ac:dyDescent="0.2">
      <c r="A2318" s="26"/>
      <c r="B2318" s="27">
        <v>590</v>
      </c>
      <c r="C2318" s="27">
        <v>840</v>
      </c>
      <c r="D2318" s="27">
        <v>27975</v>
      </c>
      <c r="E2318" s="29" t="s">
        <v>3375</v>
      </c>
      <c r="F2318" s="29" t="s">
        <v>7556</v>
      </c>
      <c r="G2318" s="29" t="s">
        <v>39</v>
      </c>
      <c r="H2318" s="29"/>
      <c r="I2318" s="27">
        <v>2024</v>
      </c>
      <c r="J2318" s="29" t="s">
        <v>7557</v>
      </c>
      <c r="K2318" s="27">
        <v>9785001399841</v>
      </c>
      <c r="L2318" s="29" t="s">
        <v>7558</v>
      </c>
      <c r="M2318" s="27">
        <v>512</v>
      </c>
      <c r="N2318" s="30">
        <v>0.6</v>
      </c>
      <c r="O2318" s="27">
        <v>140</v>
      </c>
      <c r="P2318" s="27">
        <v>210</v>
      </c>
      <c r="Q2318" s="27">
        <v>10</v>
      </c>
      <c r="R2318" s="29" t="s">
        <v>43</v>
      </c>
      <c r="S2318" s="29"/>
      <c r="T2318" s="28">
        <v>2000</v>
      </c>
      <c r="U2318" s="29" t="s">
        <v>44</v>
      </c>
      <c r="V2318" s="29" t="s">
        <v>89</v>
      </c>
      <c r="W2318" s="27">
        <v>10</v>
      </c>
      <c r="X2318" s="37" t="str">
        <f>HYPERLINK("https://www.alpinabook.ru/catalog/book-ostrov","ссылка на книгу")</f>
        <v>ссылка на книгу</v>
      </c>
      <c r="Y2318" s="38" t="str">
        <f>HYPERLINK("https://api-enni.alpina.ru/FilePrivilegesApproval/364","https://api-enni.alpina.ru/FilePrivilegesApproval/364")</f>
        <v>https://api-enni.alpina.ru/FilePrivilegesApproval/364</v>
      </c>
      <c r="Z2318" s="29"/>
      <c r="AT2318" s="1">
        <f t="shared" si="445"/>
        <v>0</v>
      </c>
      <c r="AU2318" s="1">
        <f t="shared" si="446"/>
        <v>0</v>
      </c>
      <c r="AV2318" s="1">
        <f t="shared" si="447"/>
        <v>0</v>
      </c>
      <c r="AW2318" s="1">
        <f t="shared" si="448"/>
        <v>0</v>
      </c>
      <c r="AX2318" s="1">
        <f t="shared" si="449"/>
        <v>0</v>
      </c>
    </row>
    <row r="2319" spans="1:50" s="1" customFormat="1" ht="21.95" customHeight="1" outlineLevel="3" x14ac:dyDescent="0.2">
      <c r="A2319" s="11"/>
      <c r="B2319" s="12">
        <v>590</v>
      </c>
      <c r="C2319" s="12">
        <v>840</v>
      </c>
      <c r="D2319" s="12">
        <v>30364</v>
      </c>
      <c r="E2319" s="13" t="s">
        <v>7559</v>
      </c>
      <c r="F2319" s="13" t="s">
        <v>7560</v>
      </c>
      <c r="G2319" s="13" t="s">
        <v>39</v>
      </c>
      <c r="H2319" s="13"/>
      <c r="I2319" s="12">
        <v>2024</v>
      </c>
      <c r="J2319" s="13" t="s">
        <v>7561</v>
      </c>
      <c r="K2319" s="12">
        <v>9785002232499</v>
      </c>
      <c r="L2319" s="13" t="s">
        <v>7562</v>
      </c>
      <c r="M2319" s="12">
        <v>272</v>
      </c>
      <c r="N2319" s="14">
        <v>0.28000000000000003</v>
      </c>
      <c r="O2319" s="12">
        <v>140</v>
      </c>
      <c r="P2319" s="12">
        <v>210</v>
      </c>
      <c r="Q2319" s="12">
        <v>12</v>
      </c>
      <c r="R2319" s="13" t="s">
        <v>82</v>
      </c>
      <c r="S2319" s="13"/>
      <c r="T2319" s="15">
        <v>2500</v>
      </c>
      <c r="U2319" s="13" t="s">
        <v>52</v>
      </c>
      <c r="V2319" s="13" t="s">
        <v>89</v>
      </c>
      <c r="W2319" s="12">
        <v>20</v>
      </c>
      <c r="X2319" s="33" t="str">
        <f>HYPERLINK("https://www.alpinabook.ru/catalog/book-otsloyka","ссылка на книгу")</f>
        <v>ссылка на книгу</v>
      </c>
      <c r="Y2319" s="34" t="str">
        <f>HYPERLINK("","")</f>
        <v/>
      </c>
      <c r="Z2319" s="13"/>
      <c r="AT2319" s="1">
        <f t="shared" si="445"/>
        <v>0</v>
      </c>
      <c r="AU2319" s="1">
        <f t="shared" si="446"/>
        <v>0</v>
      </c>
      <c r="AV2319" s="1">
        <f t="shared" si="447"/>
        <v>0</v>
      </c>
      <c r="AW2319" s="1">
        <f t="shared" si="448"/>
        <v>0</v>
      </c>
      <c r="AX2319" s="1">
        <f t="shared" si="449"/>
        <v>0</v>
      </c>
    </row>
    <row r="2320" spans="1:50" s="1" customFormat="1" ht="21.95" customHeight="1" outlineLevel="3" x14ac:dyDescent="0.2">
      <c r="A2320" s="11"/>
      <c r="B2320" s="12">
        <v>690</v>
      </c>
      <c r="C2320" s="12">
        <v>990</v>
      </c>
      <c r="D2320" s="12">
        <v>30186</v>
      </c>
      <c r="E2320" s="13" t="s">
        <v>7563</v>
      </c>
      <c r="F2320" s="13" t="s">
        <v>7564</v>
      </c>
      <c r="G2320" s="13" t="s">
        <v>39</v>
      </c>
      <c r="H2320" s="13"/>
      <c r="I2320" s="12">
        <v>2024</v>
      </c>
      <c r="J2320" s="13" t="s">
        <v>7565</v>
      </c>
      <c r="K2320" s="12">
        <v>9785002232321</v>
      </c>
      <c r="L2320" s="13" t="s">
        <v>7566</v>
      </c>
      <c r="M2320" s="12">
        <v>392</v>
      </c>
      <c r="N2320" s="14">
        <v>0.43</v>
      </c>
      <c r="O2320" s="12">
        <v>150</v>
      </c>
      <c r="P2320" s="12">
        <v>220</v>
      </c>
      <c r="Q2320" s="12">
        <v>10</v>
      </c>
      <c r="R2320" s="13" t="s">
        <v>43</v>
      </c>
      <c r="S2320" s="13"/>
      <c r="T2320" s="15">
        <v>3000</v>
      </c>
      <c r="U2320" s="13" t="s">
        <v>52</v>
      </c>
      <c r="V2320" s="13" t="s">
        <v>89</v>
      </c>
      <c r="W2320" s="12">
        <v>20</v>
      </c>
      <c r="X2320" s="33" t="str">
        <f>HYPERLINK("https://www.alpinabook.ru/catalog/book-paradoks-teseya","ссылка на книгу")</f>
        <v>ссылка на книгу</v>
      </c>
      <c r="Y2320" s="34" t="str">
        <f>HYPERLINK("","")</f>
        <v/>
      </c>
      <c r="Z2320" s="13"/>
      <c r="AT2320" s="1">
        <f t="shared" si="445"/>
        <v>0</v>
      </c>
      <c r="AU2320" s="1">
        <f t="shared" si="446"/>
        <v>0</v>
      </c>
      <c r="AV2320" s="1">
        <f t="shared" si="447"/>
        <v>0</v>
      </c>
      <c r="AW2320" s="1">
        <f t="shared" si="448"/>
        <v>0</v>
      </c>
      <c r="AX2320" s="1">
        <f t="shared" si="449"/>
        <v>0</v>
      </c>
    </row>
    <row r="2321" spans="1:50" s="1" customFormat="1" ht="24.95" customHeight="1" outlineLevel="3" x14ac:dyDescent="0.2">
      <c r="A2321" s="11"/>
      <c r="B2321" s="12">
        <v>640</v>
      </c>
      <c r="C2321" s="12">
        <v>840</v>
      </c>
      <c r="D2321" s="12">
        <v>30108</v>
      </c>
      <c r="E2321" s="13" t="s">
        <v>7313</v>
      </c>
      <c r="F2321" s="13" t="s">
        <v>7567</v>
      </c>
      <c r="G2321" s="13" t="s">
        <v>39</v>
      </c>
      <c r="H2321" s="13"/>
      <c r="I2321" s="12">
        <v>2024</v>
      </c>
      <c r="J2321" s="13" t="s">
        <v>7568</v>
      </c>
      <c r="K2321" s="12">
        <v>9785002232291</v>
      </c>
      <c r="L2321" s="13" t="s">
        <v>7569</v>
      </c>
      <c r="M2321" s="12">
        <v>296</v>
      </c>
      <c r="N2321" s="14">
        <v>0.37</v>
      </c>
      <c r="O2321" s="12">
        <v>160</v>
      </c>
      <c r="P2321" s="12">
        <v>210</v>
      </c>
      <c r="Q2321" s="12">
        <v>16</v>
      </c>
      <c r="R2321" s="13" t="s">
        <v>43</v>
      </c>
      <c r="S2321" s="13"/>
      <c r="T2321" s="15">
        <v>2500</v>
      </c>
      <c r="U2321" s="13" t="s">
        <v>44</v>
      </c>
      <c r="V2321" s="13" t="s">
        <v>89</v>
      </c>
      <c r="W2321" s="12">
        <v>10</v>
      </c>
      <c r="X2321" s="33" t="str">
        <f>HYPERLINK("https://www.alpinabook.ru/catalog/book-pesn-o-side","ссылка на книгу")</f>
        <v>ссылка на книгу</v>
      </c>
      <c r="Y2321" s="34" t="str">
        <f>HYPERLINK("https://api-enni.alpina.ru/FilePrivilegesApproval/520","https://api-enni.alpina.ru/FilePrivilegesApproval/520")</f>
        <v>https://api-enni.alpina.ru/FilePrivilegesApproval/520</v>
      </c>
      <c r="Z2321" s="13"/>
      <c r="AT2321" s="1">
        <f t="shared" si="445"/>
        <v>0</v>
      </c>
      <c r="AU2321" s="1">
        <f t="shared" si="446"/>
        <v>0</v>
      </c>
      <c r="AV2321" s="1">
        <f t="shared" si="447"/>
        <v>0</v>
      </c>
      <c r="AW2321" s="1">
        <f t="shared" si="448"/>
        <v>0</v>
      </c>
      <c r="AX2321" s="1">
        <f t="shared" si="449"/>
        <v>0</v>
      </c>
    </row>
    <row r="2322" spans="1:50" s="1" customFormat="1" ht="24.95" customHeight="1" outlineLevel="3" x14ac:dyDescent="0.2">
      <c r="A2322" s="11"/>
      <c r="B2322" s="12">
        <v>690</v>
      </c>
      <c r="C2322" s="12">
        <v>940</v>
      </c>
      <c r="D2322" s="12">
        <v>30458</v>
      </c>
      <c r="E2322" s="13" t="s">
        <v>7570</v>
      </c>
      <c r="F2322" s="13" t="s">
        <v>7571</v>
      </c>
      <c r="G2322" s="13" t="s">
        <v>39</v>
      </c>
      <c r="H2322" s="13"/>
      <c r="I2322" s="12">
        <v>2024</v>
      </c>
      <c r="J2322" s="13" t="s">
        <v>7572</v>
      </c>
      <c r="K2322" s="12">
        <v>9785002232574</v>
      </c>
      <c r="L2322" s="13" t="s">
        <v>7573</v>
      </c>
      <c r="M2322" s="12">
        <v>400</v>
      </c>
      <c r="N2322" s="14">
        <v>0.44</v>
      </c>
      <c r="O2322" s="12">
        <v>150</v>
      </c>
      <c r="P2322" s="12">
        <v>220</v>
      </c>
      <c r="Q2322" s="12">
        <v>10</v>
      </c>
      <c r="R2322" s="13" t="s">
        <v>43</v>
      </c>
      <c r="S2322" s="13"/>
      <c r="T2322" s="15">
        <v>2000</v>
      </c>
      <c r="U2322" s="13" t="s">
        <v>52</v>
      </c>
      <c r="V2322" s="13" t="s">
        <v>45</v>
      </c>
      <c r="W2322" s="12">
        <v>10</v>
      </c>
      <c r="X2322" s="33" t="str">
        <f>HYPERLINK("https://www.alpinabook.ru/catalog/book-pianisty","ссылка на книгу")</f>
        <v>ссылка на книгу</v>
      </c>
      <c r="Y2322" s="34" t="str">
        <f>HYPERLINK("https://api-enni.alpina.ru/FilePrivilegesApproval/566","https://api-enni.alpina.ru/FilePrivilegesApproval/566")</f>
        <v>https://api-enni.alpina.ru/FilePrivilegesApproval/566</v>
      </c>
      <c r="Z2322" s="13"/>
      <c r="AT2322" s="1">
        <f t="shared" si="445"/>
        <v>0</v>
      </c>
      <c r="AU2322" s="1">
        <f t="shared" si="446"/>
        <v>0</v>
      </c>
      <c r="AV2322" s="1">
        <f t="shared" si="447"/>
        <v>0</v>
      </c>
      <c r="AW2322" s="1">
        <f t="shared" si="448"/>
        <v>0</v>
      </c>
      <c r="AX2322" s="1">
        <f t="shared" si="449"/>
        <v>0</v>
      </c>
    </row>
    <row r="2323" spans="1:50" s="1" customFormat="1" ht="21.95" customHeight="1" outlineLevel="3" x14ac:dyDescent="0.2">
      <c r="A2323" s="11"/>
      <c r="B2323" s="12">
        <v>590</v>
      </c>
      <c r="C2323" s="12">
        <v>840</v>
      </c>
      <c r="D2323" s="12">
        <v>30289</v>
      </c>
      <c r="E2323" s="13" t="s">
        <v>7574</v>
      </c>
      <c r="F2323" s="13" t="s">
        <v>7575</v>
      </c>
      <c r="G2323" s="13" t="s">
        <v>39</v>
      </c>
      <c r="H2323" s="13"/>
      <c r="I2323" s="12">
        <v>2024</v>
      </c>
      <c r="J2323" s="13" t="s">
        <v>7576</v>
      </c>
      <c r="K2323" s="12">
        <v>9785002232444</v>
      </c>
      <c r="L2323" s="13" t="s">
        <v>7577</v>
      </c>
      <c r="M2323" s="12">
        <v>408</v>
      </c>
      <c r="N2323" s="14">
        <v>0.35</v>
      </c>
      <c r="O2323" s="12">
        <v>140</v>
      </c>
      <c r="P2323" s="12">
        <v>210</v>
      </c>
      <c r="Q2323" s="12">
        <v>8</v>
      </c>
      <c r="R2323" s="13" t="s">
        <v>43</v>
      </c>
      <c r="S2323" s="13"/>
      <c r="T2323" s="15">
        <v>2500</v>
      </c>
      <c r="U2323" s="13" t="s">
        <v>44</v>
      </c>
      <c r="V2323" s="13" t="s">
        <v>89</v>
      </c>
      <c r="W2323" s="12">
        <v>20</v>
      </c>
      <c r="X2323" s="33" t="str">
        <f>HYPERLINK("https://www.alpinabook.ru/catalog/book-pisma-k-ottsu","ссылка на книгу")</f>
        <v>ссылка на книгу</v>
      </c>
      <c r="Y2323" s="34" t="str">
        <f>HYPERLINK("","")</f>
        <v/>
      </c>
      <c r="Z2323" s="13"/>
      <c r="AT2323" s="1">
        <f t="shared" si="445"/>
        <v>0</v>
      </c>
      <c r="AU2323" s="1">
        <f t="shared" si="446"/>
        <v>0</v>
      </c>
      <c r="AV2323" s="1">
        <f t="shared" si="447"/>
        <v>0</v>
      </c>
      <c r="AW2323" s="1">
        <f t="shared" si="448"/>
        <v>0</v>
      </c>
      <c r="AX2323" s="1">
        <f t="shared" si="449"/>
        <v>0</v>
      </c>
    </row>
    <row r="2324" spans="1:50" s="1" customFormat="1" ht="24.95" customHeight="1" outlineLevel="3" x14ac:dyDescent="0.2">
      <c r="A2324" s="11"/>
      <c r="B2324" s="12">
        <v>490</v>
      </c>
      <c r="C2324" s="12">
        <v>740</v>
      </c>
      <c r="D2324" s="12">
        <v>28985</v>
      </c>
      <c r="E2324" s="13" t="s">
        <v>7578</v>
      </c>
      <c r="F2324" s="13" t="s">
        <v>7579</v>
      </c>
      <c r="G2324" s="13" t="s">
        <v>39</v>
      </c>
      <c r="H2324" s="13"/>
      <c r="I2324" s="12">
        <v>2024</v>
      </c>
      <c r="J2324" s="13" t="s">
        <v>7580</v>
      </c>
      <c r="K2324" s="12">
        <v>9785002230990</v>
      </c>
      <c r="L2324" s="13" t="s">
        <v>7581</v>
      </c>
      <c r="M2324" s="12">
        <v>264</v>
      </c>
      <c r="N2324" s="14">
        <v>0.26</v>
      </c>
      <c r="O2324" s="12">
        <v>140</v>
      </c>
      <c r="P2324" s="12">
        <v>210</v>
      </c>
      <c r="Q2324" s="12">
        <v>14</v>
      </c>
      <c r="R2324" s="13" t="s">
        <v>43</v>
      </c>
      <c r="S2324" s="13"/>
      <c r="T2324" s="15">
        <v>2000</v>
      </c>
      <c r="U2324" s="13" t="s">
        <v>44</v>
      </c>
      <c r="V2324" s="13" t="s">
        <v>89</v>
      </c>
      <c r="W2324" s="12">
        <v>10</v>
      </c>
      <c r="X2324" s="33" t="str">
        <f>HYPERLINK("https://www.alpinabook.ru/catalog/book-piterskie-monstry","ссылка на книгу")</f>
        <v>ссылка на книгу</v>
      </c>
      <c r="Y2324" s="34" t="str">
        <f>HYPERLINK("https://api-enni.alpina.ru/FilePrivilegesApproval/408","https://api-enni.alpina.ru/FilePrivilegesApproval/408")</f>
        <v>https://api-enni.alpina.ru/FilePrivilegesApproval/408</v>
      </c>
      <c r="Z2324" s="13"/>
      <c r="AT2324" s="1">
        <f t="shared" si="445"/>
        <v>0</v>
      </c>
      <c r="AU2324" s="1">
        <f t="shared" si="446"/>
        <v>0</v>
      </c>
      <c r="AV2324" s="1">
        <f t="shared" si="447"/>
        <v>0</v>
      </c>
      <c r="AW2324" s="1">
        <f t="shared" si="448"/>
        <v>0</v>
      </c>
      <c r="AX2324" s="1">
        <f t="shared" si="449"/>
        <v>0</v>
      </c>
    </row>
    <row r="2325" spans="1:50" s="1" customFormat="1" ht="24.95" customHeight="1" outlineLevel="3" x14ac:dyDescent="0.2">
      <c r="A2325" s="11"/>
      <c r="B2325" s="12">
        <v>540</v>
      </c>
      <c r="C2325" s="12">
        <v>840</v>
      </c>
      <c r="D2325" s="12">
        <v>26471</v>
      </c>
      <c r="E2325" s="13" t="s">
        <v>114</v>
      </c>
      <c r="F2325" s="13" t="s">
        <v>7582</v>
      </c>
      <c r="G2325" s="13" t="s">
        <v>39</v>
      </c>
      <c r="H2325" s="13"/>
      <c r="I2325" s="12">
        <v>2023</v>
      </c>
      <c r="J2325" s="13" t="s">
        <v>7583</v>
      </c>
      <c r="K2325" s="12">
        <v>9785001397755</v>
      </c>
      <c r="L2325" s="13" t="s">
        <v>7584</v>
      </c>
      <c r="M2325" s="12">
        <v>360</v>
      </c>
      <c r="N2325" s="14">
        <v>0.5</v>
      </c>
      <c r="O2325" s="12">
        <v>150</v>
      </c>
      <c r="P2325" s="12">
        <v>220</v>
      </c>
      <c r="Q2325" s="12">
        <v>12</v>
      </c>
      <c r="R2325" s="13" t="s">
        <v>43</v>
      </c>
      <c r="S2325" s="13"/>
      <c r="T2325" s="15">
        <v>2000</v>
      </c>
      <c r="U2325" s="13" t="s">
        <v>52</v>
      </c>
      <c r="V2325" s="13" t="s">
        <v>89</v>
      </c>
      <c r="W2325" s="12">
        <v>10</v>
      </c>
      <c r="X2325" s="33" t="str">
        <f>HYPERLINK("https://www.alpinabook.ru/catalog/book-pobeg-kumaniki","ссылка на книгу")</f>
        <v>ссылка на книгу</v>
      </c>
      <c r="Y2325" s="34" t="str">
        <f>HYPERLINK("https://api-enni.alpina.ru/FilePrivilegesApproval/171","https://api-enni.alpina.ru/FilePrivilegesApproval/171")</f>
        <v>https://api-enni.alpina.ru/FilePrivilegesApproval/171</v>
      </c>
      <c r="Z2325" s="13"/>
      <c r="AT2325" s="1">
        <f t="shared" si="445"/>
        <v>0</v>
      </c>
      <c r="AU2325" s="1">
        <f t="shared" si="446"/>
        <v>0</v>
      </c>
      <c r="AV2325" s="1">
        <f t="shared" si="447"/>
        <v>0</v>
      </c>
      <c r="AW2325" s="1">
        <f t="shared" si="448"/>
        <v>0</v>
      </c>
      <c r="AX2325" s="1">
        <f t="shared" si="449"/>
        <v>0</v>
      </c>
    </row>
    <row r="2326" spans="1:50" s="1" customFormat="1" ht="21.95" customHeight="1" outlineLevel="3" x14ac:dyDescent="0.2">
      <c r="A2326" s="11"/>
      <c r="B2326" s="12">
        <v>590</v>
      </c>
      <c r="C2326" s="12">
        <v>840</v>
      </c>
      <c r="D2326" s="12">
        <v>29552</v>
      </c>
      <c r="E2326" s="13" t="s">
        <v>7585</v>
      </c>
      <c r="F2326" s="13" t="s">
        <v>7586</v>
      </c>
      <c r="G2326" s="13" t="s">
        <v>39</v>
      </c>
      <c r="H2326" s="13"/>
      <c r="I2326" s="12">
        <v>2024</v>
      </c>
      <c r="J2326" s="13" t="s">
        <v>7587</v>
      </c>
      <c r="K2326" s="12">
        <v>9785002231522</v>
      </c>
      <c r="L2326" s="13" t="s">
        <v>7588</v>
      </c>
      <c r="M2326" s="12">
        <v>288</v>
      </c>
      <c r="N2326" s="14">
        <v>0.28999999999999998</v>
      </c>
      <c r="O2326" s="12">
        <v>130</v>
      </c>
      <c r="P2326" s="12">
        <v>210</v>
      </c>
      <c r="Q2326" s="12">
        <v>12</v>
      </c>
      <c r="R2326" s="13" t="s">
        <v>82</v>
      </c>
      <c r="S2326" s="13"/>
      <c r="T2326" s="15">
        <v>3000</v>
      </c>
      <c r="U2326" s="13" t="s">
        <v>52</v>
      </c>
      <c r="V2326" s="13" t="s">
        <v>89</v>
      </c>
      <c r="W2326" s="12">
        <v>20</v>
      </c>
      <c r="X2326" s="33" t="str">
        <f>HYPERLINK("https://www.alpinabook.ru/catalog/book-pod-rekoy","ссылка на книгу")</f>
        <v>ссылка на книгу</v>
      </c>
      <c r="Y2326" s="34" t="str">
        <f>HYPERLINK("","")</f>
        <v/>
      </c>
      <c r="Z2326" s="13"/>
      <c r="AT2326" s="1">
        <f t="shared" si="445"/>
        <v>0</v>
      </c>
      <c r="AU2326" s="1">
        <f t="shared" si="446"/>
        <v>0</v>
      </c>
      <c r="AV2326" s="1">
        <f t="shared" si="447"/>
        <v>0</v>
      </c>
      <c r="AW2326" s="1">
        <f t="shared" si="448"/>
        <v>0</v>
      </c>
      <c r="AX2326" s="1">
        <f t="shared" si="449"/>
        <v>0</v>
      </c>
    </row>
    <row r="2327" spans="1:50" s="1" customFormat="1" ht="21.95" customHeight="1" outlineLevel="3" x14ac:dyDescent="0.2">
      <c r="A2327" s="11"/>
      <c r="B2327" s="12">
        <v>650</v>
      </c>
      <c r="C2327" s="12">
        <v>840</v>
      </c>
      <c r="D2327" s="12">
        <v>31655</v>
      </c>
      <c r="E2327" s="13" t="s">
        <v>7365</v>
      </c>
      <c r="F2327" s="13" t="s">
        <v>7589</v>
      </c>
      <c r="G2327" s="13" t="s">
        <v>39</v>
      </c>
      <c r="H2327" s="13"/>
      <c r="I2327" s="12">
        <v>2025</v>
      </c>
      <c r="J2327" s="13" t="s">
        <v>7590</v>
      </c>
      <c r="K2327" s="12">
        <v>9785002234042</v>
      </c>
      <c r="L2327" s="13" t="s">
        <v>7591</v>
      </c>
      <c r="M2327" s="12">
        <v>318</v>
      </c>
      <c r="N2327" s="14">
        <v>0.28000000000000003</v>
      </c>
      <c r="O2327" s="12">
        <v>140</v>
      </c>
      <c r="P2327" s="12">
        <v>210</v>
      </c>
      <c r="Q2327" s="12">
        <v>6</v>
      </c>
      <c r="R2327" s="13" t="s">
        <v>43</v>
      </c>
      <c r="S2327" s="13"/>
      <c r="T2327" s="15">
        <v>1000</v>
      </c>
      <c r="U2327" s="13" t="s">
        <v>44</v>
      </c>
      <c r="V2327" s="13" t="s">
        <v>89</v>
      </c>
      <c r="W2327" s="12">
        <v>20</v>
      </c>
      <c r="X2327" s="33" t="str">
        <f>HYPERLINK("https://www.alpinabook.ru/catalog/book-pod-sinim-solntsem","ссылка на книгу")</f>
        <v>ссылка на книгу</v>
      </c>
      <c r="Y2327" s="34" t="str">
        <f>HYPERLINK("","")</f>
        <v/>
      </c>
      <c r="Z2327" s="13"/>
      <c r="AT2327" s="1">
        <f t="shared" si="445"/>
        <v>0</v>
      </c>
      <c r="AU2327" s="1">
        <f t="shared" si="446"/>
        <v>0</v>
      </c>
      <c r="AV2327" s="1">
        <f t="shared" si="447"/>
        <v>0</v>
      </c>
      <c r="AW2327" s="1">
        <f t="shared" si="448"/>
        <v>0</v>
      </c>
      <c r="AX2327" s="1">
        <f t="shared" si="449"/>
        <v>0</v>
      </c>
    </row>
    <row r="2328" spans="1:50" s="1" customFormat="1" ht="24.95" customHeight="1" outlineLevel="3" x14ac:dyDescent="0.2">
      <c r="A2328" s="11"/>
      <c r="B2328" s="12">
        <v>490</v>
      </c>
      <c r="C2328" s="12">
        <v>690</v>
      </c>
      <c r="D2328" s="12">
        <v>28168</v>
      </c>
      <c r="E2328" s="13" t="s">
        <v>572</v>
      </c>
      <c r="F2328" s="13" t="s">
        <v>7592</v>
      </c>
      <c r="G2328" s="13" t="s">
        <v>39</v>
      </c>
      <c r="H2328" s="13"/>
      <c r="I2328" s="12">
        <v>2024</v>
      </c>
      <c r="J2328" s="13" t="s">
        <v>7593</v>
      </c>
      <c r="K2328" s="12">
        <v>9785002230860</v>
      </c>
      <c r="L2328" s="13" t="s">
        <v>7594</v>
      </c>
      <c r="M2328" s="12">
        <v>342</v>
      </c>
      <c r="N2328" s="14">
        <v>0.35</v>
      </c>
      <c r="O2328" s="12">
        <v>130</v>
      </c>
      <c r="P2328" s="12">
        <v>210</v>
      </c>
      <c r="Q2328" s="12">
        <v>10</v>
      </c>
      <c r="R2328" s="13" t="s">
        <v>82</v>
      </c>
      <c r="S2328" s="13"/>
      <c r="T2328" s="15">
        <v>2000</v>
      </c>
      <c r="U2328" s="13" t="s">
        <v>52</v>
      </c>
      <c r="V2328" s="13" t="s">
        <v>89</v>
      </c>
      <c r="W2328" s="12">
        <v>10</v>
      </c>
      <c r="X2328" s="33" t="str">
        <f>HYPERLINK("https://www.alpinabook.ru/catalog/book-posle-kontsa","ссылка на книгу")</f>
        <v>ссылка на книгу</v>
      </c>
      <c r="Y2328" s="34" t="str">
        <f>HYPERLINK("https://api-enni.alpina.ru/FilePrivilegesApproval/349","https://api-enni.alpina.ru/FilePrivilegesApproval/349")</f>
        <v>https://api-enni.alpina.ru/FilePrivilegesApproval/349</v>
      </c>
      <c r="Z2328" s="13"/>
      <c r="AT2328" s="1">
        <f t="shared" si="445"/>
        <v>0</v>
      </c>
      <c r="AU2328" s="1">
        <f t="shared" si="446"/>
        <v>0</v>
      </c>
      <c r="AV2328" s="1">
        <f t="shared" si="447"/>
        <v>0</v>
      </c>
      <c r="AW2328" s="1">
        <f t="shared" si="448"/>
        <v>0</v>
      </c>
      <c r="AX2328" s="1">
        <f t="shared" si="449"/>
        <v>0</v>
      </c>
    </row>
    <row r="2329" spans="1:50" s="1" customFormat="1" ht="21.95" customHeight="1" outlineLevel="3" x14ac:dyDescent="0.2">
      <c r="A2329" s="11"/>
      <c r="B2329" s="12">
        <v>650</v>
      </c>
      <c r="C2329" s="12">
        <v>940</v>
      </c>
      <c r="D2329" s="12">
        <v>31399</v>
      </c>
      <c r="E2329" s="13" t="s">
        <v>7595</v>
      </c>
      <c r="F2329" s="13" t="s">
        <v>7596</v>
      </c>
      <c r="G2329" s="13" t="s">
        <v>39</v>
      </c>
      <c r="H2329" s="13"/>
      <c r="I2329" s="12">
        <v>2025</v>
      </c>
      <c r="J2329" s="13" t="s">
        <v>7597</v>
      </c>
      <c r="K2329" s="12">
        <v>9785002233830</v>
      </c>
      <c r="L2329" s="13" t="s">
        <v>7598</v>
      </c>
      <c r="M2329" s="12">
        <v>438</v>
      </c>
      <c r="N2329" s="14">
        <v>0.46</v>
      </c>
      <c r="O2329" s="12">
        <v>150</v>
      </c>
      <c r="P2329" s="12">
        <v>220</v>
      </c>
      <c r="Q2329" s="12">
        <v>8</v>
      </c>
      <c r="R2329" s="13" t="s">
        <v>43</v>
      </c>
      <c r="S2329" s="13"/>
      <c r="T2329" s="15">
        <v>1700</v>
      </c>
      <c r="U2329" s="13" t="s">
        <v>52</v>
      </c>
      <c r="V2329" s="13" t="s">
        <v>89</v>
      </c>
      <c r="W2329" s="12">
        <v>20</v>
      </c>
      <c r="X2329" s="33" t="str">
        <f>HYPERLINK("https://www.alpinabook.ru/catalog/book-priglashenie-k-lyubvi","ссылка на книгу")</f>
        <v>ссылка на книгу</v>
      </c>
      <c r="Y2329" s="34" t="str">
        <f>HYPERLINK("","")</f>
        <v/>
      </c>
      <c r="Z2329" s="13"/>
      <c r="AT2329" s="1">
        <f t="shared" si="445"/>
        <v>0</v>
      </c>
      <c r="AU2329" s="1">
        <f t="shared" si="446"/>
        <v>0</v>
      </c>
      <c r="AV2329" s="1">
        <f t="shared" si="447"/>
        <v>0</v>
      </c>
      <c r="AW2329" s="1">
        <f t="shared" si="448"/>
        <v>0</v>
      </c>
      <c r="AX2329" s="1">
        <f t="shared" si="449"/>
        <v>0</v>
      </c>
    </row>
    <row r="2330" spans="1:50" s="1" customFormat="1" ht="24.95" customHeight="1" outlineLevel="3" x14ac:dyDescent="0.2">
      <c r="A2330" s="11"/>
      <c r="B2330" s="12">
        <v>640</v>
      </c>
      <c r="C2330" s="12">
        <v>940</v>
      </c>
      <c r="D2330" s="12">
        <v>31661</v>
      </c>
      <c r="E2330" s="13" t="s">
        <v>7599</v>
      </c>
      <c r="F2330" s="13" t="s">
        <v>7600</v>
      </c>
      <c r="G2330" s="13" t="s">
        <v>97</v>
      </c>
      <c r="H2330" s="13"/>
      <c r="I2330" s="12">
        <v>2024</v>
      </c>
      <c r="J2330" s="13" t="s">
        <v>7601</v>
      </c>
      <c r="K2330" s="12">
        <v>9785206003796</v>
      </c>
      <c r="L2330" s="13" t="s">
        <v>7602</v>
      </c>
      <c r="M2330" s="12">
        <v>520</v>
      </c>
      <c r="N2330" s="14">
        <v>0.72</v>
      </c>
      <c r="O2330" s="12">
        <v>150</v>
      </c>
      <c r="P2330" s="12">
        <v>220</v>
      </c>
      <c r="Q2330" s="12">
        <v>4</v>
      </c>
      <c r="R2330" s="13" t="s">
        <v>43</v>
      </c>
      <c r="S2330" s="13"/>
      <c r="T2330" s="15">
        <v>2005</v>
      </c>
      <c r="U2330" s="13" t="s">
        <v>52</v>
      </c>
      <c r="V2330" s="13" t="s">
        <v>45</v>
      </c>
      <c r="W2330" s="12">
        <v>10</v>
      </c>
      <c r="X2330" s="33" t="str">
        <f>HYPERLINK("https://www.alpinabook.ru/catalog/book-priklyucheniya-kitayskogo-letchika-dzhao-da","ссылка на книгу")</f>
        <v>ссылка на книгу</v>
      </c>
      <c r="Y2330" s="34" t="str">
        <f>HYPERLINK("https://api-enni.alpina.ru/FilePrivilegesApproval/708","https://api-enni.alpina.ru/FilePrivilegesApproval/708")</f>
        <v>https://api-enni.alpina.ru/FilePrivilegesApproval/708</v>
      </c>
      <c r="Z2330" s="13"/>
      <c r="AT2330" s="1">
        <f t="shared" si="445"/>
        <v>0</v>
      </c>
      <c r="AU2330" s="1">
        <f t="shared" si="446"/>
        <v>0</v>
      </c>
      <c r="AV2330" s="1">
        <f t="shared" si="447"/>
        <v>0</v>
      </c>
      <c r="AW2330" s="1">
        <f t="shared" si="448"/>
        <v>0</v>
      </c>
      <c r="AX2330" s="1">
        <f t="shared" si="449"/>
        <v>0</v>
      </c>
    </row>
    <row r="2331" spans="1:50" s="1" customFormat="1" ht="24.95" customHeight="1" outlineLevel="3" x14ac:dyDescent="0.2">
      <c r="A2331" s="11"/>
      <c r="B2331" s="12">
        <v>640</v>
      </c>
      <c r="C2331" s="12">
        <v>940</v>
      </c>
      <c r="D2331" s="12">
        <v>22770</v>
      </c>
      <c r="E2331" s="13" t="s">
        <v>339</v>
      </c>
      <c r="F2331" s="13" t="s">
        <v>683</v>
      </c>
      <c r="G2331" s="13" t="s">
        <v>39</v>
      </c>
      <c r="H2331" s="13"/>
      <c r="I2331" s="12">
        <v>2025</v>
      </c>
      <c r="J2331" s="13" t="s">
        <v>684</v>
      </c>
      <c r="K2331" s="12">
        <v>9785001395058</v>
      </c>
      <c r="L2331" s="13" t="s">
        <v>685</v>
      </c>
      <c r="M2331" s="12">
        <v>336</v>
      </c>
      <c r="N2331" s="14">
        <v>0.56000000000000005</v>
      </c>
      <c r="O2331" s="12">
        <v>140</v>
      </c>
      <c r="P2331" s="12">
        <v>210</v>
      </c>
      <c r="Q2331" s="12">
        <v>10</v>
      </c>
      <c r="R2331" s="13" t="s">
        <v>43</v>
      </c>
      <c r="S2331" s="13"/>
      <c r="T2331" s="15">
        <v>1500</v>
      </c>
      <c r="U2331" s="13" t="s">
        <v>52</v>
      </c>
      <c r="V2331" s="13" t="s">
        <v>89</v>
      </c>
      <c r="W2331" s="12">
        <v>10</v>
      </c>
      <c r="X2331" s="33" t="str">
        <f>HYPERLINK("https://www.alpinabook.ru/catalog/book-psoglavtsy","ссылка на книгу")</f>
        <v>ссылка на книгу</v>
      </c>
      <c r="Y2331" s="34" t="str">
        <f>HYPERLINK("https://api-enni.alpina.ru/FilePrivilegesApproval/207","https://api-enni.alpina.ru/FilePrivilegesApproval/207")</f>
        <v>https://api-enni.alpina.ru/FilePrivilegesApproval/207</v>
      </c>
      <c r="Z2331" s="13" t="s">
        <v>77</v>
      </c>
      <c r="AT2331" s="1">
        <f t="shared" si="445"/>
        <v>0</v>
      </c>
      <c r="AU2331" s="1">
        <f t="shared" si="446"/>
        <v>0</v>
      </c>
      <c r="AV2331" s="1">
        <f t="shared" si="447"/>
        <v>0</v>
      </c>
      <c r="AW2331" s="1">
        <f t="shared" si="448"/>
        <v>0</v>
      </c>
      <c r="AX2331" s="1">
        <f t="shared" si="449"/>
        <v>0</v>
      </c>
    </row>
    <row r="2332" spans="1:50" s="1" customFormat="1" ht="24.95" customHeight="1" outlineLevel="3" x14ac:dyDescent="0.2">
      <c r="A2332" s="11"/>
      <c r="B2332" s="12">
        <v>340</v>
      </c>
      <c r="C2332" s="12">
        <v>590</v>
      </c>
      <c r="D2332" s="12">
        <v>29068</v>
      </c>
      <c r="E2332" s="13" t="s">
        <v>339</v>
      </c>
      <c r="F2332" s="13" t="s">
        <v>7603</v>
      </c>
      <c r="G2332" s="13" t="s">
        <v>39</v>
      </c>
      <c r="H2332" s="13"/>
      <c r="I2332" s="12">
        <v>2024</v>
      </c>
      <c r="J2332" s="13" t="s">
        <v>7604</v>
      </c>
      <c r="K2332" s="12">
        <v>9785002230969</v>
      </c>
      <c r="L2332" s="13" t="s">
        <v>7605</v>
      </c>
      <c r="M2332" s="12">
        <v>416</v>
      </c>
      <c r="N2332" s="14">
        <v>0.24</v>
      </c>
      <c r="O2332" s="12">
        <v>120</v>
      </c>
      <c r="P2332" s="12">
        <v>170</v>
      </c>
      <c r="Q2332" s="12">
        <v>6</v>
      </c>
      <c r="R2332" s="13" t="s">
        <v>75</v>
      </c>
      <c r="S2332" s="13" t="s">
        <v>7186</v>
      </c>
      <c r="T2332" s="15">
        <v>4000</v>
      </c>
      <c r="U2332" s="13" t="s">
        <v>44</v>
      </c>
      <c r="V2332" s="13" t="s">
        <v>89</v>
      </c>
      <c r="W2332" s="12">
        <v>10</v>
      </c>
      <c r="X2332" s="33" t="str">
        <f>HYPERLINK("https://www.alpinabook.ru/catalog/book-psoglavtsy","ссылка на книгу")</f>
        <v>ссылка на книгу</v>
      </c>
      <c r="Y2332" s="34" t="str">
        <f>HYPERLINK("https://api-enni.alpina.ru/FilePrivilegesApproval/207","https://api-enni.alpina.ru/FilePrivilegesApproval/207")</f>
        <v>https://api-enni.alpina.ru/FilePrivilegesApproval/207</v>
      </c>
      <c r="Z2332" s="13"/>
      <c r="AT2332" s="1">
        <f t="shared" si="445"/>
        <v>0</v>
      </c>
      <c r="AU2332" s="1">
        <f t="shared" si="446"/>
        <v>0</v>
      </c>
      <c r="AV2332" s="1">
        <f t="shared" si="447"/>
        <v>0</v>
      </c>
      <c r="AW2332" s="1">
        <f t="shared" si="448"/>
        <v>0</v>
      </c>
      <c r="AX2332" s="1">
        <f t="shared" si="449"/>
        <v>0</v>
      </c>
    </row>
    <row r="2333" spans="1:50" s="1" customFormat="1" ht="24.95" customHeight="1" outlineLevel="3" x14ac:dyDescent="0.2">
      <c r="A2333" s="11"/>
      <c r="B2333" s="12">
        <v>540</v>
      </c>
      <c r="C2333" s="12">
        <v>740</v>
      </c>
      <c r="D2333" s="12">
        <v>31239</v>
      </c>
      <c r="E2333" s="13" t="s">
        <v>7606</v>
      </c>
      <c r="F2333" s="13" t="s">
        <v>7607</v>
      </c>
      <c r="G2333" s="13" t="s">
        <v>39</v>
      </c>
      <c r="H2333" s="13"/>
      <c r="I2333" s="12">
        <v>2025</v>
      </c>
      <c r="J2333" s="13" t="s">
        <v>7608</v>
      </c>
      <c r="K2333" s="12">
        <v>9785002233595</v>
      </c>
      <c r="L2333" s="13" t="s">
        <v>7609</v>
      </c>
      <c r="M2333" s="12">
        <v>238</v>
      </c>
      <c r="N2333" s="14">
        <v>0.26</v>
      </c>
      <c r="O2333" s="12">
        <v>130</v>
      </c>
      <c r="P2333" s="12">
        <v>210</v>
      </c>
      <c r="Q2333" s="12">
        <v>14</v>
      </c>
      <c r="R2333" s="13" t="s">
        <v>82</v>
      </c>
      <c r="S2333" s="13"/>
      <c r="T2333" s="15">
        <v>1500</v>
      </c>
      <c r="U2333" s="13" t="s">
        <v>52</v>
      </c>
      <c r="V2333" s="13" t="s">
        <v>45</v>
      </c>
      <c r="W2333" s="12">
        <v>10</v>
      </c>
      <c r="X2333" s="33" t="str">
        <f>HYPERLINK("https://www.alpinabook.ru/catalog/book-pyatno","ссылка на книгу")</f>
        <v>ссылка на книгу</v>
      </c>
      <c r="Y2333" s="34" t="str">
        <f>HYPERLINK("https://api-enni.alpina.ru/FilePrivilegesApproval/634","https://api-enni.alpina.ru/FilePrivilegesApproval/634")</f>
        <v>https://api-enni.alpina.ru/FilePrivilegesApproval/634</v>
      </c>
      <c r="Z2333" s="13" t="s">
        <v>732</v>
      </c>
      <c r="AT2333" s="1">
        <f t="shared" ref="AT2333:AT2364" si="450">IF($A2333&lt;&gt;0,1,0)</f>
        <v>0</v>
      </c>
      <c r="AU2333" s="1">
        <f t="shared" ref="AU2333:AU2364" si="451">$A2333*$B2333</f>
        <v>0</v>
      </c>
      <c r="AV2333" s="1">
        <f t="shared" ref="AV2333:AV2364" si="452">$A2333*$N2333</f>
        <v>0</v>
      </c>
      <c r="AW2333" s="1">
        <f t="shared" ref="AW2333:AW2364" si="453">IF($Q2333=0,0,INT($A2333/$Q2333))</f>
        <v>0</v>
      </c>
      <c r="AX2333" s="1">
        <f t="shared" ref="AX2333:AX2364" si="454">$A2333-$AW2333*$Q2333</f>
        <v>0</v>
      </c>
    </row>
    <row r="2334" spans="1:50" s="1" customFormat="1" ht="21.95" customHeight="1" outlineLevel="3" x14ac:dyDescent="0.2">
      <c r="A2334" s="11"/>
      <c r="B2334" s="12">
        <v>490</v>
      </c>
      <c r="C2334" s="12">
        <v>740</v>
      </c>
      <c r="D2334" s="12">
        <v>27624</v>
      </c>
      <c r="E2334" s="13" t="s">
        <v>7610</v>
      </c>
      <c r="F2334" s="13" t="s">
        <v>7611</v>
      </c>
      <c r="G2334" s="13" t="s">
        <v>39</v>
      </c>
      <c r="H2334" s="13"/>
      <c r="I2334" s="12">
        <v>2023</v>
      </c>
      <c r="J2334" s="13" t="s">
        <v>7612</v>
      </c>
      <c r="K2334" s="12">
        <v>9785001399377</v>
      </c>
      <c r="L2334" s="13" t="s">
        <v>7613</v>
      </c>
      <c r="M2334" s="12">
        <v>296</v>
      </c>
      <c r="N2334" s="14">
        <v>0.25</v>
      </c>
      <c r="O2334" s="12">
        <v>130</v>
      </c>
      <c r="P2334" s="12">
        <v>200</v>
      </c>
      <c r="Q2334" s="12">
        <v>12</v>
      </c>
      <c r="R2334" s="13" t="s">
        <v>82</v>
      </c>
      <c r="S2334" s="13"/>
      <c r="T2334" s="15">
        <v>2000</v>
      </c>
      <c r="U2334" s="13" t="s">
        <v>44</v>
      </c>
      <c r="V2334" s="13" t="s">
        <v>89</v>
      </c>
      <c r="W2334" s="12">
        <v>20</v>
      </c>
      <c r="X2334" s="33" t="str">
        <f>HYPERLINK("https://www.alpinabook.ru/catalog/book-ragnaryek","ссылка на книгу")</f>
        <v>ссылка на книгу</v>
      </c>
      <c r="Y2334" s="34" t="str">
        <f>HYPERLINK("","")</f>
        <v/>
      </c>
      <c r="Z2334" s="13"/>
      <c r="AT2334" s="1">
        <f t="shared" si="450"/>
        <v>0</v>
      </c>
      <c r="AU2334" s="1">
        <f t="shared" si="451"/>
        <v>0</v>
      </c>
      <c r="AV2334" s="1">
        <f t="shared" si="452"/>
        <v>0</v>
      </c>
      <c r="AW2334" s="1">
        <f t="shared" si="453"/>
        <v>0</v>
      </c>
      <c r="AX2334" s="1">
        <f t="shared" si="454"/>
        <v>0</v>
      </c>
    </row>
    <row r="2335" spans="1:50" s="1" customFormat="1" ht="24.95" customHeight="1" outlineLevel="3" x14ac:dyDescent="0.2">
      <c r="A2335" s="11"/>
      <c r="B2335" s="12">
        <v>540</v>
      </c>
      <c r="C2335" s="12">
        <v>840</v>
      </c>
      <c r="D2335" s="12">
        <v>28763</v>
      </c>
      <c r="E2335" s="13" t="s">
        <v>114</v>
      </c>
      <c r="F2335" s="13" t="s">
        <v>7614</v>
      </c>
      <c r="G2335" s="13" t="s">
        <v>39</v>
      </c>
      <c r="H2335" s="13"/>
      <c r="I2335" s="12">
        <v>2023</v>
      </c>
      <c r="J2335" s="13" t="s">
        <v>7615</v>
      </c>
      <c r="K2335" s="12">
        <v>9785002230532</v>
      </c>
      <c r="L2335" s="13" t="s">
        <v>7616</v>
      </c>
      <c r="M2335" s="12">
        <v>408</v>
      </c>
      <c r="N2335" s="14">
        <v>0.5</v>
      </c>
      <c r="O2335" s="12">
        <v>140</v>
      </c>
      <c r="P2335" s="12">
        <v>210</v>
      </c>
      <c r="Q2335" s="12">
        <v>10</v>
      </c>
      <c r="R2335" s="13" t="s">
        <v>43</v>
      </c>
      <c r="S2335" s="13"/>
      <c r="T2335" s="15">
        <v>1500</v>
      </c>
      <c r="U2335" s="13" t="s">
        <v>44</v>
      </c>
      <c r="V2335" s="13" t="s">
        <v>89</v>
      </c>
      <c r="W2335" s="12">
        <v>10</v>
      </c>
      <c r="X2335" s="33" t="str">
        <f>HYPERLINK("https://www.alpinabook.ru/catalog/book-radin","ссылка на книгу")</f>
        <v>ссылка на книгу</v>
      </c>
      <c r="Y2335" s="34" t="str">
        <f>HYPERLINK("https://api-enni.alpina.ru/FilePrivilegesApproval/145","https://api-enni.alpina.ru/FilePrivilegesApproval/145")</f>
        <v>https://api-enni.alpina.ru/FilePrivilegesApproval/145</v>
      </c>
      <c r="Z2335" s="13"/>
      <c r="AT2335" s="1">
        <f t="shared" si="450"/>
        <v>0</v>
      </c>
      <c r="AU2335" s="1">
        <f t="shared" si="451"/>
        <v>0</v>
      </c>
      <c r="AV2335" s="1">
        <f t="shared" si="452"/>
        <v>0</v>
      </c>
      <c r="AW2335" s="1">
        <f t="shared" si="453"/>
        <v>0</v>
      </c>
      <c r="AX2335" s="1">
        <f t="shared" si="454"/>
        <v>0</v>
      </c>
    </row>
    <row r="2336" spans="1:50" s="1" customFormat="1" ht="24.95" customHeight="1" outlineLevel="3" x14ac:dyDescent="0.2">
      <c r="A2336" s="11"/>
      <c r="B2336" s="12">
        <v>580</v>
      </c>
      <c r="C2336" s="12">
        <v>890</v>
      </c>
      <c r="D2336" s="12">
        <v>30279</v>
      </c>
      <c r="E2336" s="13" t="s">
        <v>7585</v>
      </c>
      <c r="F2336" s="13" t="s">
        <v>7617</v>
      </c>
      <c r="G2336" s="13" t="s">
        <v>39</v>
      </c>
      <c r="H2336" s="13"/>
      <c r="I2336" s="12">
        <v>2025</v>
      </c>
      <c r="J2336" s="13" t="s">
        <v>7618</v>
      </c>
      <c r="K2336" s="12">
        <v>9785002232406</v>
      </c>
      <c r="L2336" s="13" t="s">
        <v>7619</v>
      </c>
      <c r="M2336" s="12">
        <v>188</v>
      </c>
      <c r="N2336" s="14">
        <v>0.24</v>
      </c>
      <c r="O2336" s="12">
        <v>130</v>
      </c>
      <c r="P2336" s="12">
        <v>220</v>
      </c>
      <c r="Q2336" s="12">
        <v>16</v>
      </c>
      <c r="R2336" s="13" t="s">
        <v>82</v>
      </c>
      <c r="S2336" s="13"/>
      <c r="T2336" s="15">
        <v>1500</v>
      </c>
      <c r="U2336" s="13" t="s">
        <v>52</v>
      </c>
      <c r="V2336" s="13" t="s">
        <v>89</v>
      </c>
      <c r="W2336" s="12">
        <v>20</v>
      </c>
      <c r="X2336" s="33" t="str">
        <f>HYPERLINK("https://www.alpinabook.ru/catalog/book-raz-malchishka-dva-malchishka","ссылка на книгу")</f>
        <v>ссылка на книгу</v>
      </c>
      <c r="Y2336" s="34" t="str">
        <f>HYPERLINK("https://api-enni.alpina.ru/FilePrivilegesApproval/497","https://api-enni.alpina.ru/FilePrivilegesApproval/497")</f>
        <v>https://api-enni.alpina.ru/FilePrivilegesApproval/497</v>
      </c>
      <c r="Z2336" s="13" t="s">
        <v>46</v>
      </c>
      <c r="AT2336" s="1">
        <f t="shared" si="450"/>
        <v>0</v>
      </c>
      <c r="AU2336" s="1">
        <f t="shared" si="451"/>
        <v>0</v>
      </c>
      <c r="AV2336" s="1">
        <f t="shared" si="452"/>
        <v>0</v>
      </c>
      <c r="AW2336" s="1">
        <f t="shared" si="453"/>
        <v>0</v>
      </c>
      <c r="AX2336" s="1">
        <f t="shared" si="454"/>
        <v>0</v>
      </c>
    </row>
    <row r="2337" spans="1:50" s="1" customFormat="1" ht="21.95" customHeight="1" outlineLevel="3" x14ac:dyDescent="0.2">
      <c r="A2337" s="11"/>
      <c r="B2337" s="12">
        <v>490</v>
      </c>
      <c r="C2337" s="12">
        <v>790</v>
      </c>
      <c r="D2337" s="12">
        <v>27174</v>
      </c>
      <c r="E2337" s="13" t="s">
        <v>7428</v>
      </c>
      <c r="F2337" s="13" t="s">
        <v>7620</v>
      </c>
      <c r="G2337" s="13" t="s">
        <v>39</v>
      </c>
      <c r="H2337" s="13"/>
      <c r="I2337" s="12">
        <v>2023</v>
      </c>
      <c r="J2337" s="13" t="s">
        <v>7621</v>
      </c>
      <c r="K2337" s="12">
        <v>9785001398875</v>
      </c>
      <c r="L2337" s="13" t="s">
        <v>7622</v>
      </c>
      <c r="M2337" s="12">
        <v>248</v>
      </c>
      <c r="N2337" s="14">
        <v>0.28999999999999998</v>
      </c>
      <c r="O2337" s="12">
        <v>130</v>
      </c>
      <c r="P2337" s="12">
        <v>210</v>
      </c>
      <c r="Q2337" s="12">
        <v>14</v>
      </c>
      <c r="R2337" s="13" t="s">
        <v>82</v>
      </c>
      <c r="S2337" s="13"/>
      <c r="T2337" s="15">
        <v>3000</v>
      </c>
      <c r="U2337" s="13" t="s">
        <v>52</v>
      </c>
      <c r="V2337" s="13" t="s">
        <v>89</v>
      </c>
      <c r="W2337" s="12">
        <v>20</v>
      </c>
      <c r="X2337" s="33" t="str">
        <f>HYPERLINK("https://www.alpinabook.ru/catalog/book-salyuty-na-toy-storone","ссылка на книгу")</f>
        <v>ссылка на книгу</v>
      </c>
      <c r="Y2337" s="34" t="str">
        <f>HYPERLINK("","")</f>
        <v/>
      </c>
      <c r="Z2337" s="13"/>
      <c r="AT2337" s="1">
        <f t="shared" si="450"/>
        <v>0</v>
      </c>
      <c r="AU2337" s="1">
        <f t="shared" si="451"/>
        <v>0</v>
      </c>
      <c r="AV2337" s="1">
        <f t="shared" si="452"/>
        <v>0</v>
      </c>
      <c r="AW2337" s="1">
        <f t="shared" si="453"/>
        <v>0</v>
      </c>
      <c r="AX2337" s="1">
        <f t="shared" si="454"/>
        <v>0</v>
      </c>
    </row>
    <row r="2338" spans="1:50" s="1" customFormat="1" ht="24.95" customHeight="1" outlineLevel="3" x14ac:dyDescent="0.2">
      <c r="A2338" s="11"/>
      <c r="B2338" s="12">
        <v>640</v>
      </c>
      <c r="C2338" s="12">
        <v>890</v>
      </c>
      <c r="D2338" s="12">
        <v>25766</v>
      </c>
      <c r="E2338" s="13" t="s">
        <v>7313</v>
      </c>
      <c r="F2338" s="13" t="s">
        <v>7623</v>
      </c>
      <c r="G2338" s="13" t="s">
        <v>39</v>
      </c>
      <c r="H2338" s="13"/>
      <c r="I2338" s="12">
        <v>2022</v>
      </c>
      <c r="J2338" s="13" t="s">
        <v>7624</v>
      </c>
      <c r="K2338" s="12">
        <v>9785001397083</v>
      </c>
      <c r="L2338" s="13" t="s">
        <v>7625</v>
      </c>
      <c r="M2338" s="12">
        <v>304</v>
      </c>
      <c r="N2338" s="14">
        <v>0.46</v>
      </c>
      <c r="O2338" s="12">
        <v>146</v>
      </c>
      <c r="P2338" s="12">
        <v>216</v>
      </c>
      <c r="Q2338" s="12">
        <v>12</v>
      </c>
      <c r="R2338" s="13" t="s">
        <v>43</v>
      </c>
      <c r="S2338" s="13"/>
      <c r="T2338" s="15">
        <v>3000</v>
      </c>
      <c r="U2338" s="13" t="s">
        <v>52</v>
      </c>
      <c r="V2338" s="13" t="s">
        <v>45</v>
      </c>
      <c r="W2338" s="12">
        <v>10</v>
      </c>
      <c r="X2338" s="33" t="str">
        <f>HYPERLINK("https://www.alpinabook.ru/catalog/book-sato","ссылка на книгу")</f>
        <v>ссылка на книгу</v>
      </c>
      <c r="Y2338" s="34" t="str">
        <f>HYPERLINK("https://api-enni.alpina.ru/FilePrivilegesApproval/185","https://api-enni.alpina.ru/FilePrivilegesApproval/185")</f>
        <v>https://api-enni.alpina.ru/FilePrivilegesApproval/185</v>
      </c>
      <c r="Z2338" s="13"/>
      <c r="AT2338" s="1">
        <f t="shared" si="450"/>
        <v>0</v>
      </c>
      <c r="AU2338" s="1">
        <f t="shared" si="451"/>
        <v>0</v>
      </c>
      <c r="AV2338" s="1">
        <f t="shared" si="452"/>
        <v>0</v>
      </c>
      <c r="AW2338" s="1">
        <f t="shared" si="453"/>
        <v>0</v>
      </c>
      <c r="AX2338" s="1">
        <f t="shared" si="454"/>
        <v>0</v>
      </c>
    </row>
    <row r="2339" spans="1:50" s="1" customFormat="1" ht="24.95" customHeight="1" outlineLevel="3" x14ac:dyDescent="0.2">
      <c r="A2339" s="11"/>
      <c r="B2339" s="12">
        <v>340</v>
      </c>
      <c r="C2339" s="12">
        <v>490</v>
      </c>
      <c r="D2339" s="12">
        <v>28928</v>
      </c>
      <c r="E2339" s="13" t="s">
        <v>7313</v>
      </c>
      <c r="F2339" s="13" t="s">
        <v>7626</v>
      </c>
      <c r="G2339" s="13" t="s">
        <v>39</v>
      </c>
      <c r="H2339" s="13"/>
      <c r="I2339" s="12">
        <v>2024</v>
      </c>
      <c r="J2339" s="13" t="s">
        <v>7627</v>
      </c>
      <c r="K2339" s="12">
        <v>9785002230792</v>
      </c>
      <c r="L2339" s="13" t="s">
        <v>7628</v>
      </c>
      <c r="M2339" s="12">
        <v>364</v>
      </c>
      <c r="N2339" s="14">
        <v>0.22</v>
      </c>
      <c r="O2339" s="12">
        <v>120</v>
      </c>
      <c r="P2339" s="12">
        <v>170</v>
      </c>
      <c r="Q2339" s="12">
        <v>18</v>
      </c>
      <c r="R2339" s="13" t="s">
        <v>75</v>
      </c>
      <c r="S2339" s="13" t="s">
        <v>7186</v>
      </c>
      <c r="T2339" s="15">
        <v>4000</v>
      </c>
      <c r="U2339" s="13" t="s">
        <v>44</v>
      </c>
      <c r="V2339" s="13" t="s">
        <v>45</v>
      </c>
      <c r="W2339" s="12">
        <v>10</v>
      </c>
      <c r="X2339" s="33" t="str">
        <f>HYPERLINK("https://www.alpinabook.ru/catalog/book-sato","ссылка на книгу")</f>
        <v>ссылка на книгу</v>
      </c>
      <c r="Y2339" s="34" t="str">
        <f>HYPERLINK("https://api-enni.alpina.ru/FilePrivilegesApproval/185","https://api-enni.alpina.ru/FilePrivilegesApproval/185")</f>
        <v>https://api-enni.alpina.ru/FilePrivilegesApproval/185</v>
      </c>
      <c r="Z2339" s="13"/>
      <c r="AT2339" s="1">
        <f t="shared" si="450"/>
        <v>0</v>
      </c>
      <c r="AU2339" s="1">
        <f t="shared" si="451"/>
        <v>0</v>
      </c>
      <c r="AV2339" s="1">
        <f t="shared" si="452"/>
        <v>0</v>
      </c>
      <c r="AW2339" s="1">
        <f t="shared" si="453"/>
        <v>0</v>
      </c>
      <c r="AX2339" s="1">
        <f t="shared" si="454"/>
        <v>0</v>
      </c>
    </row>
    <row r="2340" spans="1:50" s="1" customFormat="1" ht="21.95" customHeight="1" outlineLevel="3" x14ac:dyDescent="0.2">
      <c r="A2340" s="11"/>
      <c r="B2340" s="12">
        <v>590</v>
      </c>
      <c r="C2340" s="12">
        <v>840</v>
      </c>
      <c r="D2340" s="12">
        <v>29296</v>
      </c>
      <c r="E2340" s="13" t="s">
        <v>7629</v>
      </c>
      <c r="F2340" s="13" t="s">
        <v>7630</v>
      </c>
      <c r="G2340" s="13" t="s">
        <v>3511</v>
      </c>
      <c r="H2340" s="13"/>
      <c r="I2340" s="12">
        <v>2023</v>
      </c>
      <c r="J2340" s="13" t="s">
        <v>7631</v>
      </c>
      <c r="K2340" s="12">
        <v>9785002160983</v>
      </c>
      <c r="L2340" s="13" t="s">
        <v>7632</v>
      </c>
      <c r="M2340" s="12">
        <v>240</v>
      </c>
      <c r="N2340" s="14">
        <v>0.32</v>
      </c>
      <c r="O2340" s="12">
        <v>150</v>
      </c>
      <c r="P2340" s="12">
        <v>210</v>
      </c>
      <c r="Q2340" s="12">
        <v>10</v>
      </c>
      <c r="R2340" s="13" t="s">
        <v>43</v>
      </c>
      <c r="S2340" s="13" t="s">
        <v>7633</v>
      </c>
      <c r="T2340" s="15">
        <v>3017</v>
      </c>
      <c r="U2340" s="13" t="s">
        <v>44</v>
      </c>
      <c r="V2340" s="13" t="s">
        <v>89</v>
      </c>
      <c r="W2340" s="12">
        <v>20</v>
      </c>
      <c r="X2340" s="33" t="str">
        <f>HYPERLINK("https://www.alpinabook.ru/catalog/book-serebryanyy-asholotl-rasskazy","ссылка на книгу")</f>
        <v>ссылка на книгу</v>
      </c>
      <c r="Y2340" s="34" t="str">
        <f>HYPERLINK("","")</f>
        <v/>
      </c>
      <c r="Z2340" s="13"/>
      <c r="AT2340" s="1">
        <f t="shared" si="450"/>
        <v>0</v>
      </c>
      <c r="AU2340" s="1">
        <f t="shared" si="451"/>
        <v>0</v>
      </c>
      <c r="AV2340" s="1">
        <f t="shared" si="452"/>
        <v>0</v>
      </c>
      <c r="AW2340" s="1">
        <f t="shared" si="453"/>
        <v>0</v>
      </c>
      <c r="AX2340" s="1">
        <f t="shared" si="454"/>
        <v>0</v>
      </c>
    </row>
    <row r="2341" spans="1:50" s="1" customFormat="1" ht="24.95" customHeight="1" outlineLevel="3" x14ac:dyDescent="0.2">
      <c r="A2341" s="11"/>
      <c r="B2341" s="12">
        <v>540</v>
      </c>
      <c r="C2341" s="12">
        <v>790</v>
      </c>
      <c r="D2341" s="12">
        <v>29790</v>
      </c>
      <c r="E2341" s="13" t="s">
        <v>7634</v>
      </c>
      <c r="F2341" s="13" t="s">
        <v>7635</v>
      </c>
      <c r="G2341" s="13" t="s">
        <v>3511</v>
      </c>
      <c r="H2341" s="13"/>
      <c r="I2341" s="12">
        <v>2024</v>
      </c>
      <c r="J2341" s="13" t="s">
        <v>7636</v>
      </c>
      <c r="K2341" s="12">
        <v>9785002160457</v>
      </c>
      <c r="L2341" s="13" t="s">
        <v>7637</v>
      </c>
      <c r="M2341" s="12">
        <v>240</v>
      </c>
      <c r="N2341" s="14">
        <v>0.3</v>
      </c>
      <c r="O2341" s="12">
        <v>140</v>
      </c>
      <c r="P2341" s="12">
        <v>220</v>
      </c>
      <c r="Q2341" s="12">
        <v>10</v>
      </c>
      <c r="R2341" s="13" t="s">
        <v>43</v>
      </c>
      <c r="S2341" s="13" t="s">
        <v>7638</v>
      </c>
      <c r="T2341" s="15">
        <v>2017</v>
      </c>
      <c r="U2341" s="13" t="s">
        <v>44</v>
      </c>
      <c r="V2341" s="13" t="s">
        <v>45</v>
      </c>
      <c r="W2341" s="12">
        <v>10</v>
      </c>
      <c r="X2341" s="33" t="str">
        <f>HYPERLINK("https://www.alpinabook.ru/catalog/book-sindrom-razbitogo-serdtsa","ссылка на книгу")</f>
        <v>ссылка на книгу</v>
      </c>
      <c r="Y2341" s="34" t="str">
        <f>HYPERLINK("https://api-enni.alpina.ru/FilePrivilegesApproval/389","https://api-enni.alpina.ru/FilePrivilegesApproval/389")</f>
        <v>https://api-enni.alpina.ru/FilePrivilegesApproval/389</v>
      </c>
      <c r="Z2341" s="13"/>
      <c r="AT2341" s="1">
        <f t="shared" si="450"/>
        <v>0</v>
      </c>
      <c r="AU2341" s="1">
        <f t="shared" si="451"/>
        <v>0</v>
      </c>
      <c r="AV2341" s="1">
        <f t="shared" si="452"/>
        <v>0</v>
      </c>
      <c r="AW2341" s="1">
        <f t="shared" si="453"/>
        <v>0</v>
      </c>
      <c r="AX2341" s="1">
        <f t="shared" si="454"/>
        <v>0</v>
      </c>
    </row>
    <row r="2342" spans="1:50" s="1" customFormat="1" ht="24.95" customHeight="1" outlineLevel="3" x14ac:dyDescent="0.2">
      <c r="A2342" s="11"/>
      <c r="B2342" s="12">
        <v>640</v>
      </c>
      <c r="C2342" s="12">
        <v>690</v>
      </c>
      <c r="D2342" s="12">
        <v>26090</v>
      </c>
      <c r="E2342" s="13" t="s">
        <v>572</v>
      </c>
      <c r="F2342" s="13" t="s">
        <v>7639</v>
      </c>
      <c r="G2342" s="13" t="s">
        <v>39</v>
      </c>
      <c r="H2342" s="13"/>
      <c r="I2342" s="12">
        <v>2022</v>
      </c>
      <c r="J2342" s="13" t="s">
        <v>7640</v>
      </c>
      <c r="K2342" s="12">
        <v>9785001397359</v>
      </c>
      <c r="L2342" s="13" t="s">
        <v>7641</v>
      </c>
      <c r="M2342" s="12">
        <v>368</v>
      </c>
      <c r="N2342" s="14">
        <v>0.48</v>
      </c>
      <c r="O2342" s="12">
        <v>130</v>
      </c>
      <c r="P2342" s="12">
        <v>206</v>
      </c>
      <c r="Q2342" s="12">
        <v>12</v>
      </c>
      <c r="R2342" s="13" t="s">
        <v>82</v>
      </c>
      <c r="S2342" s="13"/>
      <c r="T2342" s="15">
        <v>2000</v>
      </c>
      <c r="U2342" s="13" t="s">
        <v>52</v>
      </c>
      <c r="V2342" s="13" t="s">
        <v>89</v>
      </c>
      <c r="W2342" s="12">
        <v>10</v>
      </c>
      <c r="X2342" s="33" t="str">
        <f>HYPERLINK("https://www.alpinabook.ru/catalog/book-skitaniya","ссылка на книгу")</f>
        <v>ссылка на книгу</v>
      </c>
      <c r="Y2342" s="34" t="str">
        <f>HYPERLINK("https://api-enni.alpina.ru/FilePrivilegesApproval/171","https://api-enni.alpina.ru/FilePrivilegesApproval/171")</f>
        <v>https://api-enni.alpina.ru/FilePrivilegesApproval/171</v>
      </c>
      <c r="Z2342" s="13"/>
      <c r="AT2342" s="1">
        <f t="shared" si="450"/>
        <v>0</v>
      </c>
      <c r="AU2342" s="1">
        <f t="shared" si="451"/>
        <v>0</v>
      </c>
      <c r="AV2342" s="1">
        <f t="shared" si="452"/>
        <v>0</v>
      </c>
      <c r="AW2342" s="1">
        <f t="shared" si="453"/>
        <v>0</v>
      </c>
      <c r="AX2342" s="1">
        <f t="shared" si="454"/>
        <v>0</v>
      </c>
    </row>
    <row r="2343" spans="1:50" s="1" customFormat="1" ht="24.95" customHeight="1" outlineLevel="3" x14ac:dyDescent="0.2">
      <c r="A2343" s="11"/>
      <c r="B2343" s="12">
        <v>540</v>
      </c>
      <c r="C2343" s="12">
        <v>790</v>
      </c>
      <c r="D2343" s="12">
        <v>29553</v>
      </c>
      <c r="E2343" s="13" t="s">
        <v>7642</v>
      </c>
      <c r="F2343" s="13" t="s">
        <v>7643</v>
      </c>
      <c r="G2343" s="13" t="s">
        <v>39</v>
      </c>
      <c r="H2343" s="13"/>
      <c r="I2343" s="12">
        <v>2024</v>
      </c>
      <c r="J2343" s="13" t="s">
        <v>7644</v>
      </c>
      <c r="K2343" s="12">
        <v>9785002231539</v>
      </c>
      <c r="L2343" s="13" t="s">
        <v>7645</v>
      </c>
      <c r="M2343" s="12">
        <v>200</v>
      </c>
      <c r="N2343" s="14">
        <v>0.19</v>
      </c>
      <c r="O2343" s="12">
        <v>140</v>
      </c>
      <c r="P2343" s="12">
        <v>210</v>
      </c>
      <c r="Q2343" s="12">
        <v>16</v>
      </c>
      <c r="R2343" s="13" t="s">
        <v>43</v>
      </c>
      <c r="S2343" s="13"/>
      <c r="T2343" s="15">
        <v>2000</v>
      </c>
      <c r="U2343" s="13" t="s">
        <v>44</v>
      </c>
      <c r="V2343" s="13" t="s">
        <v>89</v>
      </c>
      <c r="W2343" s="12">
        <v>20</v>
      </c>
      <c r="X2343" s="33" t="str">
        <f>HYPERLINK("https://www.alpinabook.ru/catalog/book-skoro-moskva","ссылка на книгу")</f>
        <v>ссылка на книгу</v>
      </c>
      <c r="Y2343" s="34" t="str">
        <f>HYPERLINK("https://api-enni.alpina.ru/FilePrivilegesApproval/432","https://api-enni.alpina.ru/FilePrivilegesApproval/432")</f>
        <v>https://api-enni.alpina.ru/FilePrivilegesApproval/432</v>
      </c>
      <c r="Z2343" s="13"/>
      <c r="AT2343" s="1">
        <f t="shared" si="450"/>
        <v>0</v>
      </c>
      <c r="AU2343" s="1">
        <f t="shared" si="451"/>
        <v>0</v>
      </c>
      <c r="AV2343" s="1">
        <f t="shared" si="452"/>
        <v>0</v>
      </c>
      <c r="AW2343" s="1">
        <f t="shared" si="453"/>
        <v>0</v>
      </c>
      <c r="AX2343" s="1">
        <f t="shared" si="454"/>
        <v>0</v>
      </c>
    </row>
    <row r="2344" spans="1:50" s="1" customFormat="1" ht="24.95" customHeight="1" outlineLevel="3" x14ac:dyDescent="0.2">
      <c r="A2344" s="11"/>
      <c r="B2344" s="12">
        <v>340</v>
      </c>
      <c r="C2344" s="12">
        <v>540</v>
      </c>
      <c r="D2344" s="12">
        <v>28653</v>
      </c>
      <c r="E2344" s="13" t="s">
        <v>6500</v>
      </c>
      <c r="F2344" s="13" t="s">
        <v>7646</v>
      </c>
      <c r="G2344" s="13" t="s">
        <v>39</v>
      </c>
      <c r="H2344" s="13"/>
      <c r="I2344" s="12">
        <v>2024</v>
      </c>
      <c r="J2344" s="13" t="s">
        <v>7647</v>
      </c>
      <c r="K2344" s="12">
        <v>9785002230433</v>
      </c>
      <c r="L2344" s="13" t="s">
        <v>7648</v>
      </c>
      <c r="M2344" s="12">
        <v>192</v>
      </c>
      <c r="N2344" s="14">
        <v>0.12</v>
      </c>
      <c r="O2344" s="12">
        <v>120</v>
      </c>
      <c r="P2344" s="12">
        <v>170</v>
      </c>
      <c r="Q2344" s="12">
        <v>8</v>
      </c>
      <c r="R2344" s="13" t="s">
        <v>75</v>
      </c>
      <c r="S2344" s="13" t="s">
        <v>7332</v>
      </c>
      <c r="T2344" s="15">
        <v>4000</v>
      </c>
      <c r="U2344" s="13" t="s">
        <v>44</v>
      </c>
      <c r="V2344" s="13" t="s">
        <v>89</v>
      </c>
      <c r="W2344" s="12">
        <v>20</v>
      </c>
      <c r="X2344" s="33" t="str">
        <f>HYPERLINK("https://www.alpinabook.ru/catalog/book-sluchay-v-moskve","ссылка на книгу")</f>
        <v>ссылка на книгу</v>
      </c>
      <c r="Y2344" s="34" t="str">
        <f>HYPERLINK("https://api-enni.alpina.ru/FilePrivilegesApproval/359","https://api-enni.alpina.ru/FilePrivilegesApproval/359")</f>
        <v>https://api-enni.alpina.ru/FilePrivilegesApproval/359</v>
      </c>
      <c r="Z2344" s="13"/>
      <c r="AT2344" s="1">
        <f t="shared" si="450"/>
        <v>0</v>
      </c>
      <c r="AU2344" s="1">
        <f t="shared" si="451"/>
        <v>0</v>
      </c>
      <c r="AV2344" s="1">
        <f t="shared" si="452"/>
        <v>0</v>
      </c>
      <c r="AW2344" s="1">
        <f t="shared" si="453"/>
        <v>0</v>
      </c>
      <c r="AX2344" s="1">
        <f t="shared" si="454"/>
        <v>0</v>
      </c>
    </row>
    <row r="2345" spans="1:50" s="1" customFormat="1" ht="24.95" customHeight="1" outlineLevel="3" x14ac:dyDescent="0.2">
      <c r="A2345" s="11"/>
      <c r="B2345" s="12">
        <v>540</v>
      </c>
      <c r="C2345" s="12">
        <v>790</v>
      </c>
      <c r="D2345" s="12">
        <v>23128</v>
      </c>
      <c r="E2345" s="13" t="s">
        <v>7301</v>
      </c>
      <c r="F2345" s="13" t="s">
        <v>7649</v>
      </c>
      <c r="G2345" s="13" t="s">
        <v>39</v>
      </c>
      <c r="H2345" s="13"/>
      <c r="I2345" s="12">
        <v>2021</v>
      </c>
      <c r="J2345" s="13" t="s">
        <v>7650</v>
      </c>
      <c r="K2345" s="12">
        <v>9785001395096</v>
      </c>
      <c r="L2345" s="13" t="s">
        <v>7651</v>
      </c>
      <c r="M2345" s="12">
        <v>176</v>
      </c>
      <c r="N2345" s="14">
        <v>0.28999999999999998</v>
      </c>
      <c r="O2345" s="12">
        <v>146</v>
      </c>
      <c r="P2345" s="12">
        <v>216</v>
      </c>
      <c r="Q2345" s="12">
        <v>20</v>
      </c>
      <c r="R2345" s="13" t="s">
        <v>43</v>
      </c>
      <c r="S2345" s="13"/>
      <c r="T2345" s="15">
        <v>3000</v>
      </c>
      <c r="U2345" s="13" t="s">
        <v>52</v>
      </c>
      <c r="V2345" s="13" t="s">
        <v>89</v>
      </c>
      <c r="W2345" s="12">
        <v>10</v>
      </c>
      <c r="X2345" s="33" t="str">
        <f>HYPERLINK("https://www.alpinabook.ru/catalog/book-smert-sovremennykh-geroev","ссылка на книгу")</f>
        <v>ссылка на книгу</v>
      </c>
      <c r="Y2345" s="34" t="str">
        <f>HYPERLINK("https://api-enni.alpina.ru/FilePrivilegesApproval/149","https://api-enni.alpina.ru/FilePrivilegesApproval/149")</f>
        <v>https://api-enni.alpina.ru/FilePrivilegesApproval/149</v>
      </c>
      <c r="Z2345" s="13"/>
      <c r="AT2345" s="1">
        <f t="shared" si="450"/>
        <v>0</v>
      </c>
      <c r="AU2345" s="1">
        <f t="shared" si="451"/>
        <v>0</v>
      </c>
      <c r="AV2345" s="1">
        <f t="shared" si="452"/>
        <v>0</v>
      </c>
      <c r="AW2345" s="1">
        <f t="shared" si="453"/>
        <v>0</v>
      </c>
      <c r="AX2345" s="1">
        <f t="shared" si="454"/>
        <v>0</v>
      </c>
    </row>
    <row r="2346" spans="1:50" s="1" customFormat="1" ht="21.95" customHeight="1" outlineLevel="3" x14ac:dyDescent="0.2">
      <c r="A2346" s="11"/>
      <c r="B2346" s="12">
        <v>690</v>
      </c>
      <c r="C2346" s="12">
        <v>890</v>
      </c>
      <c r="D2346" s="12">
        <v>31087</v>
      </c>
      <c r="E2346" s="13" t="s">
        <v>7652</v>
      </c>
      <c r="F2346" s="13" t="s">
        <v>7653</v>
      </c>
      <c r="G2346" s="13" t="s">
        <v>39</v>
      </c>
      <c r="H2346" s="13"/>
      <c r="I2346" s="12">
        <v>2025</v>
      </c>
      <c r="J2346" s="13" t="s">
        <v>7654</v>
      </c>
      <c r="K2346" s="12">
        <v>9785002233281</v>
      </c>
      <c r="L2346" s="13" t="s">
        <v>7655</v>
      </c>
      <c r="M2346" s="12">
        <v>444</v>
      </c>
      <c r="N2346" s="14">
        <v>0.35</v>
      </c>
      <c r="O2346" s="12">
        <v>140</v>
      </c>
      <c r="P2346" s="12">
        <v>200</v>
      </c>
      <c r="Q2346" s="12">
        <v>12</v>
      </c>
      <c r="R2346" s="13" t="s">
        <v>43</v>
      </c>
      <c r="S2346" s="13"/>
      <c r="T2346" s="15">
        <v>2000</v>
      </c>
      <c r="U2346" s="13" t="s">
        <v>44</v>
      </c>
      <c r="V2346" s="13" t="s">
        <v>89</v>
      </c>
      <c r="W2346" s="12">
        <v>20</v>
      </c>
      <c r="X2346" s="33" t="str">
        <f>HYPERLINK("https://www.alpinabook.ru/catalog/book-srednyaya-prodolzhitelnost-zhizni","ссылка на книгу")</f>
        <v>ссылка на книгу</v>
      </c>
      <c r="Y2346" s="34" t="str">
        <f>HYPERLINK("","")</f>
        <v/>
      </c>
      <c r="Z2346" s="13" t="s">
        <v>46</v>
      </c>
      <c r="AT2346" s="1">
        <f t="shared" si="450"/>
        <v>0</v>
      </c>
      <c r="AU2346" s="1">
        <f t="shared" si="451"/>
        <v>0</v>
      </c>
      <c r="AV2346" s="1">
        <f t="shared" si="452"/>
        <v>0</v>
      </c>
      <c r="AW2346" s="1">
        <f t="shared" si="453"/>
        <v>0</v>
      </c>
      <c r="AX2346" s="1">
        <f t="shared" si="454"/>
        <v>0</v>
      </c>
    </row>
    <row r="2347" spans="1:50" s="1" customFormat="1" ht="24.95" customHeight="1" outlineLevel="3" x14ac:dyDescent="0.2">
      <c r="A2347" s="11"/>
      <c r="B2347" s="12">
        <v>590</v>
      </c>
      <c r="C2347" s="12">
        <v>740</v>
      </c>
      <c r="D2347" s="12">
        <v>26094</v>
      </c>
      <c r="E2347" s="13" t="s">
        <v>7305</v>
      </c>
      <c r="F2347" s="13" t="s">
        <v>7656</v>
      </c>
      <c r="G2347" s="13" t="s">
        <v>39</v>
      </c>
      <c r="H2347" s="13"/>
      <c r="I2347" s="12">
        <v>2022</v>
      </c>
      <c r="J2347" s="13" t="s">
        <v>7657</v>
      </c>
      <c r="K2347" s="12">
        <v>9785001397380</v>
      </c>
      <c r="L2347" s="13" t="s">
        <v>7658</v>
      </c>
      <c r="M2347" s="12">
        <v>336</v>
      </c>
      <c r="N2347" s="14">
        <v>0.4</v>
      </c>
      <c r="O2347" s="12">
        <v>146</v>
      </c>
      <c r="P2347" s="12">
        <v>216</v>
      </c>
      <c r="Q2347" s="12">
        <v>14</v>
      </c>
      <c r="R2347" s="13" t="s">
        <v>82</v>
      </c>
      <c r="S2347" s="13"/>
      <c r="T2347" s="15">
        <v>1500</v>
      </c>
      <c r="U2347" s="13" t="s">
        <v>52</v>
      </c>
      <c r="V2347" s="13" t="s">
        <v>89</v>
      </c>
      <c r="W2347" s="12">
        <v>10</v>
      </c>
      <c r="X2347" s="33" t="str">
        <f>HYPERLINK("https://www.alpinabook.ru/catalog/book-strah","ссылка на книгу")</f>
        <v>ссылка на книгу</v>
      </c>
      <c r="Y2347" s="34" t="str">
        <f>HYPERLINK("https://api-enni.alpina.ru/FilePrivilegesApproval/171","https://api-enni.alpina.ru/FilePrivilegesApproval/171")</f>
        <v>https://api-enni.alpina.ru/FilePrivilegesApproval/171</v>
      </c>
      <c r="Z2347" s="13"/>
      <c r="AT2347" s="1">
        <f t="shared" si="450"/>
        <v>0</v>
      </c>
      <c r="AU2347" s="1">
        <f t="shared" si="451"/>
        <v>0</v>
      </c>
      <c r="AV2347" s="1">
        <f t="shared" si="452"/>
        <v>0</v>
      </c>
      <c r="AW2347" s="1">
        <f t="shared" si="453"/>
        <v>0</v>
      </c>
      <c r="AX2347" s="1">
        <f t="shared" si="454"/>
        <v>0</v>
      </c>
    </row>
    <row r="2348" spans="1:50" s="1" customFormat="1" ht="24.95" customHeight="1" outlineLevel="3" x14ac:dyDescent="0.2">
      <c r="A2348" s="11"/>
      <c r="B2348" s="12">
        <v>340</v>
      </c>
      <c r="C2348" s="12">
        <v>540</v>
      </c>
      <c r="D2348" s="12">
        <v>28162</v>
      </c>
      <c r="E2348" s="13" t="s">
        <v>6500</v>
      </c>
      <c r="F2348" s="13" t="s">
        <v>7659</v>
      </c>
      <c r="G2348" s="13" t="s">
        <v>39</v>
      </c>
      <c r="H2348" s="13"/>
      <c r="I2348" s="12">
        <v>2024</v>
      </c>
      <c r="J2348" s="13" t="s">
        <v>7660</v>
      </c>
      <c r="K2348" s="12">
        <v>9785002230716</v>
      </c>
      <c r="L2348" s="13" t="s">
        <v>7661</v>
      </c>
      <c r="M2348" s="12">
        <v>192</v>
      </c>
      <c r="N2348" s="14">
        <v>0.13</v>
      </c>
      <c r="O2348" s="12">
        <v>120</v>
      </c>
      <c r="P2348" s="12">
        <v>170</v>
      </c>
      <c r="Q2348" s="12">
        <v>20</v>
      </c>
      <c r="R2348" s="13" t="s">
        <v>75</v>
      </c>
      <c r="S2348" s="13" t="s">
        <v>7332</v>
      </c>
      <c r="T2348" s="15">
        <v>2000</v>
      </c>
      <c r="U2348" s="13" t="s">
        <v>44</v>
      </c>
      <c r="V2348" s="13" t="s">
        <v>89</v>
      </c>
      <c r="W2348" s="12">
        <v>10</v>
      </c>
      <c r="X2348" s="33" t="str">
        <f>HYPERLINK("https://www.alpinabook.ru/catalog/book-tainstvennaya-nevesta","ссылка на книгу")</f>
        <v>ссылка на книгу</v>
      </c>
      <c r="Y2348" s="34" t="str">
        <f>HYPERLINK("https://api-enni.alpina.ru/FilePrivilegesApproval/324","https://api-enni.alpina.ru/FilePrivilegesApproval/324")</f>
        <v>https://api-enni.alpina.ru/FilePrivilegesApproval/324</v>
      </c>
      <c r="Z2348" s="13"/>
      <c r="AT2348" s="1">
        <f t="shared" si="450"/>
        <v>0</v>
      </c>
      <c r="AU2348" s="1">
        <f t="shared" si="451"/>
        <v>0</v>
      </c>
      <c r="AV2348" s="1">
        <f t="shared" si="452"/>
        <v>0</v>
      </c>
      <c r="AW2348" s="1">
        <f t="shared" si="453"/>
        <v>0</v>
      </c>
      <c r="AX2348" s="1">
        <f t="shared" si="454"/>
        <v>0</v>
      </c>
    </row>
    <row r="2349" spans="1:50" s="1" customFormat="1" ht="21.95" customHeight="1" outlineLevel="3" x14ac:dyDescent="0.2">
      <c r="A2349" s="11"/>
      <c r="B2349" s="12">
        <v>590</v>
      </c>
      <c r="C2349" s="12">
        <v>840</v>
      </c>
      <c r="D2349" s="12">
        <v>31911</v>
      </c>
      <c r="E2349" s="13" t="s">
        <v>222</v>
      </c>
      <c r="F2349" s="13" t="s">
        <v>223</v>
      </c>
      <c r="G2349" s="13" t="s">
        <v>39</v>
      </c>
      <c r="H2349" s="13"/>
      <c r="I2349" s="12">
        <v>2025</v>
      </c>
      <c r="J2349" s="13" t="s">
        <v>224</v>
      </c>
      <c r="K2349" s="12">
        <v>9785002234424</v>
      </c>
      <c r="L2349" s="13" t="s">
        <v>225</v>
      </c>
      <c r="M2349" s="12">
        <v>224</v>
      </c>
      <c r="N2349" s="14">
        <v>0.25</v>
      </c>
      <c r="O2349" s="12">
        <v>130</v>
      </c>
      <c r="P2349" s="12">
        <v>210</v>
      </c>
      <c r="Q2349" s="12">
        <v>16</v>
      </c>
      <c r="R2349" s="13" t="s">
        <v>82</v>
      </c>
      <c r="S2349" s="13"/>
      <c r="T2349" s="15">
        <v>1500</v>
      </c>
      <c r="U2349" s="13" t="s">
        <v>52</v>
      </c>
      <c r="V2349" s="13" t="s">
        <v>89</v>
      </c>
      <c r="W2349" s="12">
        <v>20</v>
      </c>
      <c r="X2349" s="33" t="str">
        <f>HYPERLINK("https://www.alpinabook.ru/catalog/book-tem-legche","ссылка на книгу")</f>
        <v>ссылка на книгу</v>
      </c>
      <c r="Y2349" s="34" t="str">
        <f>HYPERLINK("","")</f>
        <v/>
      </c>
      <c r="Z2349" s="13" t="s">
        <v>77</v>
      </c>
      <c r="AT2349" s="1">
        <f t="shared" si="450"/>
        <v>0</v>
      </c>
      <c r="AU2349" s="1">
        <f t="shared" si="451"/>
        <v>0</v>
      </c>
      <c r="AV2349" s="1">
        <f t="shared" si="452"/>
        <v>0</v>
      </c>
      <c r="AW2349" s="1">
        <f t="shared" si="453"/>
        <v>0</v>
      </c>
      <c r="AX2349" s="1">
        <f t="shared" si="454"/>
        <v>0</v>
      </c>
    </row>
    <row r="2350" spans="1:50" s="1" customFormat="1" ht="24.95" customHeight="1" outlineLevel="3" x14ac:dyDescent="0.2">
      <c r="A2350" s="11"/>
      <c r="B2350" s="12">
        <v>490</v>
      </c>
      <c r="C2350" s="12">
        <v>740</v>
      </c>
      <c r="D2350" s="12">
        <v>27971</v>
      </c>
      <c r="E2350" s="13" t="s">
        <v>7662</v>
      </c>
      <c r="F2350" s="13" t="s">
        <v>7663</v>
      </c>
      <c r="G2350" s="13" t="s">
        <v>39</v>
      </c>
      <c r="H2350" s="13"/>
      <c r="I2350" s="12">
        <v>2023</v>
      </c>
      <c r="J2350" s="13" t="s">
        <v>7664</v>
      </c>
      <c r="K2350" s="12">
        <v>9785001399810</v>
      </c>
      <c r="L2350" s="13" t="s">
        <v>7665</v>
      </c>
      <c r="M2350" s="12">
        <v>464</v>
      </c>
      <c r="N2350" s="14">
        <v>0.36</v>
      </c>
      <c r="O2350" s="12">
        <v>130</v>
      </c>
      <c r="P2350" s="12">
        <v>200</v>
      </c>
      <c r="Q2350" s="12">
        <v>12</v>
      </c>
      <c r="R2350" s="13" t="s">
        <v>82</v>
      </c>
      <c r="S2350" s="13"/>
      <c r="T2350" s="15">
        <v>2000</v>
      </c>
      <c r="U2350" s="13" t="s">
        <v>44</v>
      </c>
      <c r="V2350" s="13" t="s">
        <v>89</v>
      </c>
      <c r="W2350" s="12">
        <v>10</v>
      </c>
      <c r="X2350" s="33" t="str">
        <f>HYPERLINK("https://www.alpinabook.ru/catalog/book-tyemnaya-lida","ссылка на книгу")</f>
        <v>ссылка на книгу</v>
      </c>
      <c r="Y2350" s="34" t="str">
        <f>HYPERLINK("https://api-enni.alpina.ru/FilePrivilegesApproval/305","https://api-enni.alpina.ru/FilePrivilegesApproval/305")</f>
        <v>https://api-enni.alpina.ru/FilePrivilegesApproval/305</v>
      </c>
      <c r="Z2350" s="13"/>
      <c r="AT2350" s="1">
        <f t="shared" si="450"/>
        <v>0</v>
      </c>
      <c r="AU2350" s="1">
        <f t="shared" si="451"/>
        <v>0</v>
      </c>
      <c r="AV2350" s="1">
        <f t="shared" si="452"/>
        <v>0</v>
      </c>
      <c r="AW2350" s="1">
        <f t="shared" si="453"/>
        <v>0</v>
      </c>
      <c r="AX2350" s="1">
        <f t="shared" si="454"/>
        <v>0</v>
      </c>
    </row>
    <row r="2351" spans="1:50" s="1" customFormat="1" ht="21.95" customHeight="1" outlineLevel="3" x14ac:dyDescent="0.2">
      <c r="A2351" s="11"/>
      <c r="B2351" s="12">
        <v>540</v>
      </c>
      <c r="C2351" s="12">
        <v>790</v>
      </c>
      <c r="D2351" s="12">
        <v>31188</v>
      </c>
      <c r="E2351" s="13" t="s">
        <v>7666</v>
      </c>
      <c r="F2351" s="13" t="s">
        <v>7667</v>
      </c>
      <c r="G2351" s="13" t="s">
        <v>39</v>
      </c>
      <c r="H2351" s="13"/>
      <c r="I2351" s="12">
        <v>2025</v>
      </c>
      <c r="J2351" s="13" t="s">
        <v>7668</v>
      </c>
      <c r="K2351" s="12">
        <v>9785002233502</v>
      </c>
      <c r="L2351" s="13" t="s">
        <v>7669</v>
      </c>
      <c r="M2351" s="12">
        <v>298</v>
      </c>
      <c r="N2351" s="14">
        <v>0.31</v>
      </c>
      <c r="O2351" s="12">
        <v>140</v>
      </c>
      <c r="P2351" s="12">
        <v>210</v>
      </c>
      <c r="Q2351" s="12">
        <v>10</v>
      </c>
      <c r="R2351" s="13" t="s">
        <v>82</v>
      </c>
      <c r="S2351" s="13"/>
      <c r="T2351" s="15">
        <v>1500</v>
      </c>
      <c r="U2351" s="13" t="s">
        <v>52</v>
      </c>
      <c r="V2351" s="13" t="s">
        <v>89</v>
      </c>
      <c r="W2351" s="12">
        <v>20</v>
      </c>
      <c r="X2351" s="33" t="str">
        <f>HYPERLINK("https://www.alpinabook.ru/catalog/book-teryaya-nashi-ulitsy","ссылка на книгу")</f>
        <v>ссылка на книгу</v>
      </c>
      <c r="Y2351" s="34" t="str">
        <f>HYPERLINK("","")</f>
        <v/>
      </c>
      <c r="Z2351" s="13"/>
      <c r="AT2351" s="1">
        <f t="shared" si="450"/>
        <v>0</v>
      </c>
      <c r="AU2351" s="1">
        <f t="shared" si="451"/>
        <v>0</v>
      </c>
      <c r="AV2351" s="1">
        <f t="shared" si="452"/>
        <v>0</v>
      </c>
      <c r="AW2351" s="1">
        <f t="shared" si="453"/>
        <v>0</v>
      </c>
      <c r="AX2351" s="1">
        <f t="shared" si="454"/>
        <v>0</v>
      </c>
    </row>
    <row r="2352" spans="1:50" s="1" customFormat="1" ht="24.95" customHeight="1" outlineLevel="3" x14ac:dyDescent="0.2">
      <c r="A2352" s="11"/>
      <c r="B2352" s="12">
        <v>590</v>
      </c>
      <c r="C2352" s="12">
        <v>840</v>
      </c>
      <c r="D2352" s="12">
        <v>29207</v>
      </c>
      <c r="E2352" s="13" t="s">
        <v>7670</v>
      </c>
      <c r="F2352" s="13" t="s">
        <v>7671</v>
      </c>
      <c r="G2352" s="13" t="s">
        <v>39</v>
      </c>
      <c r="H2352" s="13"/>
      <c r="I2352" s="12">
        <v>2024</v>
      </c>
      <c r="J2352" s="13" t="s">
        <v>7672</v>
      </c>
      <c r="K2352" s="12">
        <v>9785002231232</v>
      </c>
      <c r="L2352" s="13" t="s">
        <v>7673</v>
      </c>
      <c r="M2352" s="12">
        <v>224</v>
      </c>
      <c r="N2352" s="14">
        <v>0.21</v>
      </c>
      <c r="O2352" s="12">
        <v>140</v>
      </c>
      <c r="P2352" s="12">
        <v>200</v>
      </c>
      <c r="Q2352" s="12">
        <v>16</v>
      </c>
      <c r="R2352" s="13" t="s">
        <v>43</v>
      </c>
      <c r="S2352" s="13"/>
      <c r="T2352" s="15">
        <v>2500</v>
      </c>
      <c r="U2352" s="13" t="s">
        <v>44</v>
      </c>
      <c r="V2352" s="13" t="s">
        <v>89</v>
      </c>
      <c r="W2352" s="12">
        <v>20</v>
      </c>
      <c r="X2352" s="33" t="str">
        <f>HYPERLINK("https://www.alpinabook.ru/catalog/book-techeniya","ссылка на книгу")</f>
        <v>ссылка на книгу</v>
      </c>
      <c r="Y2352" s="34" t="str">
        <f>HYPERLINK("https://api-enni.alpina.ru/FilePrivilegesApproval/408","https://api-enni.alpina.ru/FilePrivilegesApproval/408")</f>
        <v>https://api-enni.alpina.ru/FilePrivilegesApproval/408</v>
      </c>
      <c r="Z2352" s="13"/>
      <c r="AT2352" s="1">
        <f t="shared" si="450"/>
        <v>0</v>
      </c>
      <c r="AU2352" s="1">
        <f t="shared" si="451"/>
        <v>0</v>
      </c>
      <c r="AV2352" s="1">
        <f t="shared" si="452"/>
        <v>0</v>
      </c>
      <c r="AW2352" s="1">
        <f t="shared" si="453"/>
        <v>0</v>
      </c>
      <c r="AX2352" s="1">
        <f t="shared" si="454"/>
        <v>0</v>
      </c>
    </row>
    <row r="2353" spans="1:50" s="1" customFormat="1" ht="24.95" customHeight="1" outlineLevel="3" x14ac:dyDescent="0.2">
      <c r="A2353" s="11"/>
      <c r="B2353" s="12">
        <v>290</v>
      </c>
      <c r="C2353" s="12">
        <v>490</v>
      </c>
      <c r="D2353" s="12">
        <v>28308</v>
      </c>
      <c r="E2353" s="13" t="s">
        <v>7191</v>
      </c>
      <c r="F2353" s="13" t="s">
        <v>7674</v>
      </c>
      <c r="G2353" s="13" t="s">
        <v>39</v>
      </c>
      <c r="H2353" s="13"/>
      <c r="I2353" s="12">
        <v>2023</v>
      </c>
      <c r="J2353" s="13" t="s">
        <v>7675</v>
      </c>
      <c r="K2353" s="12">
        <v>9785002230082</v>
      </c>
      <c r="L2353" s="13" t="s">
        <v>7676</v>
      </c>
      <c r="M2353" s="12">
        <v>224</v>
      </c>
      <c r="N2353" s="14">
        <v>0.15</v>
      </c>
      <c r="O2353" s="12">
        <v>120</v>
      </c>
      <c r="P2353" s="12">
        <v>170</v>
      </c>
      <c r="Q2353" s="12">
        <v>8</v>
      </c>
      <c r="R2353" s="13" t="s">
        <v>75</v>
      </c>
      <c r="S2353" s="13" t="s">
        <v>7186</v>
      </c>
      <c r="T2353" s="15">
        <v>5000</v>
      </c>
      <c r="U2353" s="13" t="s">
        <v>44</v>
      </c>
      <c r="V2353" s="13" t="s">
        <v>59</v>
      </c>
      <c r="W2353" s="12">
        <v>10</v>
      </c>
      <c r="X2353" s="33" t="str">
        <f>HYPERLINK("https://www.alpinabook.ru/catalog/book-tipa-ya","ссылка на книгу")</f>
        <v>ссылка на книгу</v>
      </c>
      <c r="Y2353" s="34" t="str">
        <f>HYPERLINK("https://api-enni.alpina.ru/FilePrivilegesApproval/147","https://api-enni.alpina.ru/FilePrivilegesApproval/147")</f>
        <v>https://api-enni.alpina.ru/FilePrivilegesApproval/147</v>
      </c>
      <c r="Z2353" s="13"/>
      <c r="AT2353" s="1">
        <f t="shared" si="450"/>
        <v>0</v>
      </c>
      <c r="AU2353" s="1">
        <f t="shared" si="451"/>
        <v>0</v>
      </c>
      <c r="AV2353" s="1">
        <f t="shared" si="452"/>
        <v>0</v>
      </c>
      <c r="AW2353" s="1">
        <f t="shared" si="453"/>
        <v>0</v>
      </c>
      <c r="AX2353" s="1">
        <f t="shared" si="454"/>
        <v>0</v>
      </c>
    </row>
    <row r="2354" spans="1:50" s="1" customFormat="1" ht="24.95" customHeight="1" outlineLevel="3" x14ac:dyDescent="0.2">
      <c r="A2354" s="11"/>
      <c r="B2354" s="15">
        <v>1090</v>
      </c>
      <c r="C2354" s="15">
        <v>1390</v>
      </c>
      <c r="D2354" s="12">
        <v>29070</v>
      </c>
      <c r="E2354" s="13" t="s">
        <v>339</v>
      </c>
      <c r="F2354" s="13" t="s">
        <v>7677</v>
      </c>
      <c r="G2354" s="13" t="s">
        <v>39</v>
      </c>
      <c r="H2354" s="13"/>
      <c r="I2354" s="12">
        <v>2025</v>
      </c>
      <c r="J2354" s="13" t="s">
        <v>7678</v>
      </c>
      <c r="K2354" s="12">
        <v>9785002230976</v>
      </c>
      <c r="L2354" s="13" t="s">
        <v>7679</v>
      </c>
      <c r="M2354" s="15">
        <v>1728</v>
      </c>
      <c r="N2354" s="14">
        <v>1.02</v>
      </c>
      <c r="O2354" s="12">
        <v>120</v>
      </c>
      <c r="P2354" s="12">
        <v>170</v>
      </c>
      <c r="Q2354" s="12">
        <v>2</v>
      </c>
      <c r="R2354" s="13" t="s">
        <v>75</v>
      </c>
      <c r="S2354" s="13" t="s">
        <v>7186</v>
      </c>
      <c r="T2354" s="15">
        <v>4000</v>
      </c>
      <c r="U2354" s="13" t="s">
        <v>44</v>
      </c>
      <c r="V2354" s="13" t="s">
        <v>89</v>
      </c>
      <c r="W2354" s="12">
        <v>10</v>
      </c>
      <c r="X2354" s="33" t="str">
        <f>HYPERLINK("https://www.alpinabook.ru/catalog/book-tobol","ссылка на книгу")</f>
        <v>ссылка на книгу</v>
      </c>
      <c r="Y2354" s="34" t="str">
        <f>HYPERLINK("https://api-enni.alpina.ru/FilePrivilegesApproval/179","https://api-enni.alpina.ru/FilePrivilegesApproval/179")</f>
        <v>https://api-enni.alpina.ru/FilePrivilegesApproval/179</v>
      </c>
      <c r="Z2354" s="13" t="s">
        <v>954</v>
      </c>
      <c r="AT2354" s="1">
        <f t="shared" si="450"/>
        <v>0</v>
      </c>
      <c r="AU2354" s="1">
        <f t="shared" si="451"/>
        <v>0</v>
      </c>
      <c r="AV2354" s="1">
        <f t="shared" si="452"/>
        <v>0</v>
      </c>
      <c r="AW2354" s="1">
        <f t="shared" si="453"/>
        <v>0</v>
      </c>
      <c r="AX2354" s="1">
        <f t="shared" si="454"/>
        <v>0</v>
      </c>
    </row>
    <row r="2355" spans="1:50" s="1" customFormat="1" ht="24.95" customHeight="1" outlineLevel="3" x14ac:dyDescent="0.2">
      <c r="A2355" s="11"/>
      <c r="B2355" s="12">
        <v>740</v>
      </c>
      <c r="C2355" s="12">
        <v>740</v>
      </c>
      <c r="D2355" s="12">
        <v>24362</v>
      </c>
      <c r="E2355" s="13" t="s">
        <v>7421</v>
      </c>
      <c r="F2355" s="13" t="s">
        <v>7680</v>
      </c>
      <c r="G2355" s="13" t="s">
        <v>39</v>
      </c>
      <c r="H2355" s="13"/>
      <c r="I2355" s="12">
        <v>2022</v>
      </c>
      <c r="J2355" s="13" t="s">
        <v>7681</v>
      </c>
      <c r="K2355" s="12">
        <v>9785001395805</v>
      </c>
      <c r="L2355" s="13" t="s">
        <v>7682</v>
      </c>
      <c r="M2355" s="12">
        <v>432</v>
      </c>
      <c r="N2355" s="14">
        <v>0.5</v>
      </c>
      <c r="O2355" s="12">
        <v>146</v>
      </c>
      <c r="P2355" s="12">
        <v>216</v>
      </c>
      <c r="Q2355" s="12">
        <v>8</v>
      </c>
      <c r="R2355" s="13" t="s">
        <v>43</v>
      </c>
      <c r="S2355" s="13"/>
      <c r="T2355" s="15">
        <v>2500</v>
      </c>
      <c r="U2355" s="13" t="s">
        <v>52</v>
      </c>
      <c r="V2355" s="13" t="s">
        <v>89</v>
      </c>
      <c r="W2355" s="12">
        <v>10</v>
      </c>
      <c r="X2355" s="33" t="str">
        <f>HYPERLINK("https://www.alpinabook.ru/catalog/book-tochka-rosy","ссылка на книгу")</f>
        <v>ссылка на книгу</v>
      </c>
      <c r="Y2355" s="34" t="str">
        <f>HYPERLINK("https://api-enni.alpina.ru/FilePrivilegesApproval/179","https://api-enni.alpina.ru/FilePrivilegesApproval/179")</f>
        <v>https://api-enni.alpina.ru/FilePrivilegesApproval/179</v>
      </c>
      <c r="Z2355" s="13"/>
      <c r="AT2355" s="1">
        <f t="shared" si="450"/>
        <v>0</v>
      </c>
      <c r="AU2355" s="1">
        <f t="shared" si="451"/>
        <v>0</v>
      </c>
      <c r="AV2355" s="1">
        <f t="shared" si="452"/>
        <v>0</v>
      </c>
      <c r="AW2355" s="1">
        <f t="shared" si="453"/>
        <v>0</v>
      </c>
      <c r="AX2355" s="1">
        <f t="shared" si="454"/>
        <v>0</v>
      </c>
    </row>
    <row r="2356" spans="1:50" s="1" customFormat="1" ht="21.95" customHeight="1" outlineLevel="3" x14ac:dyDescent="0.2">
      <c r="A2356" s="11"/>
      <c r="B2356" s="12">
        <v>720</v>
      </c>
      <c r="C2356" s="12">
        <v>990</v>
      </c>
      <c r="D2356" s="12">
        <v>28650</v>
      </c>
      <c r="E2356" s="13" t="s">
        <v>7683</v>
      </c>
      <c r="F2356" s="13" t="s">
        <v>7684</v>
      </c>
      <c r="G2356" s="13" t="s">
        <v>39</v>
      </c>
      <c r="H2356" s="13"/>
      <c r="I2356" s="12">
        <v>2024</v>
      </c>
      <c r="J2356" s="13" t="s">
        <v>7685</v>
      </c>
      <c r="K2356" s="12">
        <v>9785002230402</v>
      </c>
      <c r="L2356" s="13" t="s">
        <v>7686</v>
      </c>
      <c r="M2356" s="12">
        <v>432</v>
      </c>
      <c r="N2356" s="14">
        <v>0.46</v>
      </c>
      <c r="O2356" s="12">
        <v>150</v>
      </c>
      <c r="P2356" s="12">
        <v>220</v>
      </c>
      <c r="Q2356" s="12">
        <v>8</v>
      </c>
      <c r="R2356" s="13" t="s">
        <v>43</v>
      </c>
      <c r="S2356" s="13"/>
      <c r="T2356" s="15">
        <v>2000</v>
      </c>
      <c r="U2356" s="13" t="s">
        <v>52</v>
      </c>
      <c r="V2356" s="13" t="s">
        <v>89</v>
      </c>
      <c r="W2356" s="12">
        <v>20</v>
      </c>
      <c r="X2356" s="33" t="str">
        <f>HYPERLINK("https://www.alpinabook.ru/catalog/book-uklyuchina","ссылка на книгу")</f>
        <v>ссылка на книгу</v>
      </c>
      <c r="Y2356" s="34" t="str">
        <f>HYPERLINK("","")</f>
        <v/>
      </c>
      <c r="Z2356" s="13"/>
      <c r="AT2356" s="1">
        <f t="shared" si="450"/>
        <v>0</v>
      </c>
      <c r="AU2356" s="1">
        <f t="shared" si="451"/>
        <v>0</v>
      </c>
      <c r="AV2356" s="1">
        <f t="shared" si="452"/>
        <v>0</v>
      </c>
      <c r="AW2356" s="1">
        <f t="shared" si="453"/>
        <v>0</v>
      </c>
      <c r="AX2356" s="1">
        <f t="shared" si="454"/>
        <v>0</v>
      </c>
    </row>
    <row r="2357" spans="1:50" s="1" customFormat="1" ht="24.95" customHeight="1" outlineLevel="3" x14ac:dyDescent="0.2">
      <c r="A2357" s="11"/>
      <c r="B2357" s="12">
        <v>340</v>
      </c>
      <c r="C2357" s="12">
        <v>540</v>
      </c>
      <c r="D2357" s="12">
        <v>28170</v>
      </c>
      <c r="E2357" s="13" t="s">
        <v>6500</v>
      </c>
      <c r="F2357" s="13" t="s">
        <v>7687</v>
      </c>
      <c r="G2357" s="13" t="s">
        <v>39</v>
      </c>
      <c r="H2357" s="13"/>
      <c r="I2357" s="12">
        <v>2024</v>
      </c>
      <c r="J2357" s="13" t="s">
        <v>7688</v>
      </c>
      <c r="K2357" s="12">
        <v>9785916713589</v>
      </c>
      <c r="L2357" s="13" t="s">
        <v>7689</v>
      </c>
      <c r="M2357" s="12">
        <v>384</v>
      </c>
      <c r="N2357" s="14">
        <v>0.24</v>
      </c>
      <c r="O2357" s="12">
        <v>120</v>
      </c>
      <c r="P2357" s="12">
        <v>170</v>
      </c>
      <c r="Q2357" s="12">
        <v>4</v>
      </c>
      <c r="R2357" s="13" t="s">
        <v>75</v>
      </c>
      <c r="S2357" s="13" t="s">
        <v>7332</v>
      </c>
      <c r="T2357" s="15">
        <v>4000</v>
      </c>
      <c r="U2357" s="13" t="s">
        <v>44</v>
      </c>
      <c r="V2357" s="13" t="s">
        <v>89</v>
      </c>
      <c r="W2357" s="12">
        <v>10</v>
      </c>
      <c r="X2357" s="33" t="str">
        <f>HYPERLINK("https://www.alpinabook.ru/catalog/book-ukroshchenie-krasnogo-konya","ссылка на книгу")</f>
        <v>ссылка на книгу</v>
      </c>
      <c r="Y2357" s="34" t="str">
        <f>HYPERLINK("https://api-enni.alpina.ru/FilePrivilegesApproval/364","https://api-enni.alpina.ru/FilePrivilegesApproval/364")</f>
        <v>https://api-enni.alpina.ru/FilePrivilegesApproval/364</v>
      </c>
      <c r="Z2357" s="13"/>
      <c r="AT2357" s="1">
        <f t="shared" si="450"/>
        <v>0</v>
      </c>
      <c r="AU2357" s="1">
        <f t="shared" si="451"/>
        <v>0</v>
      </c>
      <c r="AV2357" s="1">
        <f t="shared" si="452"/>
        <v>0</v>
      </c>
      <c r="AW2357" s="1">
        <f t="shared" si="453"/>
        <v>0</v>
      </c>
      <c r="AX2357" s="1">
        <f t="shared" si="454"/>
        <v>0</v>
      </c>
    </row>
    <row r="2358" spans="1:50" s="1" customFormat="1" ht="21.95" customHeight="1" outlineLevel="3" x14ac:dyDescent="0.2">
      <c r="A2358" s="11"/>
      <c r="B2358" s="12">
        <v>490</v>
      </c>
      <c r="C2358" s="12">
        <v>740</v>
      </c>
      <c r="D2358" s="12">
        <v>28986</v>
      </c>
      <c r="E2358" s="13" t="s">
        <v>7526</v>
      </c>
      <c r="F2358" s="13" t="s">
        <v>7690</v>
      </c>
      <c r="G2358" s="13" t="s">
        <v>39</v>
      </c>
      <c r="H2358" s="13"/>
      <c r="I2358" s="12">
        <v>2024</v>
      </c>
      <c r="J2358" s="13" t="s">
        <v>7691</v>
      </c>
      <c r="K2358" s="12">
        <v>9785002231003</v>
      </c>
      <c r="L2358" s="13" t="s">
        <v>7692</v>
      </c>
      <c r="M2358" s="12">
        <v>304</v>
      </c>
      <c r="N2358" s="14">
        <v>0.23</v>
      </c>
      <c r="O2358" s="12">
        <v>130</v>
      </c>
      <c r="P2358" s="12">
        <v>200</v>
      </c>
      <c r="Q2358" s="12">
        <v>12</v>
      </c>
      <c r="R2358" s="13" t="s">
        <v>82</v>
      </c>
      <c r="S2358" s="13"/>
      <c r="T2358" s="15">
        <v>2000</v>
      </c>
      <c r="U2358" s="13" t="s">
        <v>44</v>
      </c>
      <c r="V2358" s="13" t="s">
        <v>89</v>
      </c>
      <c r="W2358" s="12">
        <v>20</v>
      </c>
      <c r="X2358" s="33" t="str">
        <f>HYPERLINK("https://www.alpinabook.ru/catalog/book-utro-bylo-glazom","ссылка на книгу")</f>
        <v>ссылка на книгу</v>
      </c>
      <c r="Y2358" s="34" t="str">
        <f>HYPERLINK("","")</f>
        <v/>
      </c>
      <c r="Z2358" s="13"/>
      <c r="AT2358" s="1">
        <f t="shared" si="450"/>
        <v>0</v>
      </c>
      <c r="AU2358" s="1">
        <f t="shared" si="451"/>
        <v>0</v>
      </c>
      <c r="AV2358" s="1">
        <f t="shared" si="452"/>
        <v>0</v>
      </c>
      <c r="AW2358" s="1">
        <f t="shared" si="453"/>
        <v>0</v>
      </c>
      <c r="AX2358" s="1">
        <f t="shared" si="454"/>
        <v>0</v>
      </c>
    </row>
    <row r="2359" spans="1:50" s="1" customFormat="1" ht="24.95" customHeight="1" outlineLevel="3" x14ac:dyDescent="0.2">
      <c r="A2359" s="11"/>
      <c r="B2359" s="12">
        <v>590</v>
      </c>
      <c r="C2359" s="12">
        <v>790</v>
      </c>
      <c r="D2359" s="12">
        <v>30404</v>
      </c>
      <c r="E2359" s="13" t="s">
        <v>7346</v>
      </c>
      <c r="F2359" s="13" t="s">
        <v>7693</v>
      </c>
      <c r="G2359" s="13" t="s">
        <v>39</v>
      </c>
      <c r="H2359" s="13"/>
      <c r="I2359" s="12">
        <v>2024</v>
      </c>
      <c r="J2359" s="13" t="s">
        <v>7694</v>
      </c>
      <c r="K2359" s="12">
        <v>9785002232529</v>
      </c>
      <c r="L2359" s="13" t="s">
        <v>7695</v>
      </c>
      <c r="M2359" s="12">
        <v>254</v>
      </c>
      <c r="N2359" s="14">
        <v>0.27</v>
      </c>
      <c r="O2359" s="12">
        <v>130</v>
      </c>
      <c r="P2359" s="12">
        <v>210</v>
      </c>
      <c r="Q2359" s="12">
        <v>14</v>
      </c>
      <c r="R2359" s="13" t="s">
        <v>82</v>
      </c>
      <c r="S2359" s="13"/>
      <c r="T2359" s="15">
        <v>2000</v>
      </c>
      <c r="U2359" s="13" t="s">
        <v>52</v>
      </c>
      <c r="V2359" s="13" t="s">
        <v>89</v>
      </c>
      <c r="W2359" s="12">
        <v>10</v>
      </c>
      <c r="X2359" s="33" t="str">
        <f>HYPERLINK("https://www.alpinabook.ru/catalog/book-fayum","ссылка на книгу")</f>
        <v>ссылка на книгу</v>
      </c>
      <c r="Y2359" s="34" t="str">
        <f>HYPERLINK("https://api-enni.alpina.ru/FilePrivilegesApproval/575","https://api-enni.alpina.ru/FilePrivilegesApproval/575")</f>
        <v>https://api-enni.alpina.ru/FilePrivilegesApproval/575</v>
      </c>
      <c r="Z2359" s="13"/>
      <c r="AT2359" s="1">
        <f t="shared" si="450"/>
        <v>0</v>
      </c>
      <c r="AU2359" s="1">
        <f t="shared" si="451"/>
        <v>0</v>
      </c>
      <c r="AV2359" s="1">
        <f t="shared" si="452"/>
        <v>0</v>
      </c>
      <c r="AW2359" s="1">
        <f t="shared" si="453"/>
        <v>0</v>
      </c>
      <c r="AX2359" s="1">
        <f t="shared" si="454"/>
        <v>0</v>
      </c>
    </row>
    <row r="2360" spans="1:50" s="1" customFormat="1" ht="21.95" customHeight="1" outlineLevel="3" x14ac:dyDescent="0.2">
      <c r="A2360" s="11"/>
      <c r="B2360" s="12">
        <v>690</v>
      </c>
      <c r="C2360" s="12">
        <v>990</v>
      </c>
      <c r="D2360" s="12">
        <v>24940</v>
      </c>
      <c r="E2360" s="13" t="s">
        <v>7191</v>
      </c>
      <c r="F2360" s="13" t="s">
        <v>7696</v>
      </c>
      <c r="G2360" s="13" t="s">
        <v>39</v>
      </c>
      <c r="H2360" s="13"/>
      <c r="I2360" s="12">
        <v>2023</v>
      </c>
      <c r="J2360" s="13" t="s">
        <v>7697</v>
      </c>
      <c r="K2360" s="12">
        <v>9785001396222</v>
      </c>
      <c r="L2360" s="13" t="s">
        <v>7698</v>
      </c>
      <c r="M2360" s="12">
        <v>440</v>
      </c>
      <c r="N2360" s="14">
        <v>0.6</v>
      </c>
      <c r="O2360" s="12">
        <v>150</v>
      </c>
      <c r="P2360" s="12">
        <v>220</v>
      </c>
      <c r="Q2360" s="12">
        <v>8</v>
      </c>
      <c r="R2360" s="13" t="s">
        <v>43</v>
      </c>
      <c r="S2360" s="13"/>
      <c r="T2360" s="15">
        <v>2000</v>
      </c>
      <c r="U2360" s="13" t="s">
        <v>52</v>
      </c>
      <c r="V2360" s="13" t="s">
        <v>89</v>
      </c>
      <c r="W2360" s="12">
        <v>20</v>
      </c>
      <c r="X2360" s="33" t="str">
        <f>HYPERLINK("https://www.alpinabook.ru/catalog/book-kholodnye-glaza","ссылка на книгу")</f>
        <v>ссылка на книгу</v>
      </c>
      <c r="Y2360" s="34" t="str">
        <f>HYPERLINK("","")</f>
        <v/>
      </c>
      <c r="Z2360" s="13"/>
      <c r="AT2360" s="1">
        <f t="shared" si="450"/>
        <v>0</v>
      </c>
      <c r="AU2360" s="1">
        <f t="shared" si="451"/>
        <v>0</v>
      </c>
      <c r="AV2360" s="1">
        <f t="shared" si="452"/>
        <v>0</v>
      </c>
      <c r="AW2360" s="1">
        <f t="shared" si="453"/>
        <v>0</v>
      </c>
      <c r="AX2360" s="1">
        <f t="shared" si="454"/>
        <v>0</v>
      </c>
    </row>
    <row r="2361" spans="1:50" s="1" customFormat="1" ht="21.95" customHeight="1" outlineLevel="3" x14ac:dyDescent="0.2">
      <c r="A2361" s="11"/>
      <c r="B2361" s="12">
        <v>340</v>
      </c>
      <c r="C2361" s="12">
        <v>540</v>
      </c>
      <c r="D2361" s="12">
        <v>28283</v>
      </c>
      <c r="E2361" s="13" t="s">
        <v>7191</v>
      </c>
      <c r="F2361" s="13" t="s">
        <v>7699</v>
      </c>
      <c r="G2361" s="13" t="s">
        <v>39</v>
      </c>
      <c r="H2361" s="13"/>
      <c r="I2361" s="12">
        <v>2023</v>
      </c>
      <c r="J2361" s="13" t="s">
        <v>7700</v>
      </c>
      <c r="K2361" s="12">
        <v>9785002230006</v>
      </c>
      <c r="L2361" s="13" t="s">
        <v>7701</v>
      </c>
      <c r="M2361" s="12">
        <v>512</v>
      </c>
      <c r="N2361" s="14">
        <v>0.3</v>
      </c>
      <c r="O2361" s="12">
        <v>120</v>
      </c>
      <c r="P2361" s="12">
        <v>170</v>
      </c>
      <c r="Q2361" s="12">
        <v>6</v>
      </c>
      <c r="R2361" s="13" t="s">
        <v>75</v>
      </c>
      <c r="S2361" s="13" t="s">
        <v>7186</v>
      </c>
      <c r="T2361" s="15">
        <v>4000</v>
      </c>
      <c r="U2361" s="13" t="s">
        <v>44</v>
      </c>
      <c r="V2361" s="13" t="s">
        <v>89</v>
      </c>
      <c r="W2361" s="12">
        <v>20</v>
      </c>
      <c r="X2361" s="33" t="str">
        <f>HYPERLINK("https://www.alpinabook.ru/catalog/book-kholodnye-glaza","ссылка на книгу")</f>
        <v>ссылка на книгу</v>
      </c>
      <c r="Y2361" s="34" t="str">
        <f>HYPERLINK("","")</f>
        <v/>
      </c>
      <c r="Z2361" s="13"/>
      <c r="AT2361" s="1">
        <f t="shared" si="450"/>
        <v>0</v>
      </c>
      <c r="AU2361" s="1">
        <f t="shared" si="451"/>
        <v>0</v>
      </c>
      <c r="AV2361" s="1">
        <f t="shared" si="452"/>
        <v>0</v>
      </c>
      <c r="AW2361" s="1">
        <f t="shared" si="453"/>
        <v>0</v>
      </c>
      <c r="AX2361" s="1">
        <f t="shared" si="454"/>
        <v>0</v>
      </c>
    </row>
    <row r="2362" spans="1:50" s="1" customFormat="1" ht="24.95" customHeight="1" outlineLevel="3" x14ac:dyDescent="0.2">
      <c r="A2362" s="11"/>
      <c r="B2362" s="12">
        <v>690</v>
      </c>
      <c r="C2362" s="12">
        <v>990</v>
      </c>
      <c r="D2362" s="12">
        <v>29555</v>
      </c>
      <c r="E2362" s="13" t="s">
        <v>7405</v>
      </c>
      <c r="F2362" s="13" t="s">
        <v>7702</v>
      </c>
      <c r="G2362" s="13" t="s">
        <v>39</v>
      </c>
      <c r="H2362" s="13"/>
      <c r="I2362" s="12">
        <v>2024</v>
      </c>
      <c r="J2362" s="13" t="s">
        <v>7703</v>
      </c>
      <c r="K2362" s="12">
        <v>9785002231553</v>
      </c>
      <c r="L2362" s="13" t="s">
        <v>7704</v>
      </c>
      <c r="M2362" s="12">
        <v>484</v>
      </c>
      <c r="N2362" s="14">
        <v>0.7</v>
      </c>
      <c r="O2362" s="12">
        <v>150</v>
      </c>
      <c r="P2362" s="12">
        <v>220</v>
      </c>
      <c r="Q2362" s="12">
        <v>5</v>
      </c>
      <c r="R2362" s="13" t="s">
        <v>43</v>
      </c>
      <c r="S2362" s="13"/>
      <c r="T2362" s="15">
        <v>2500</v>
      </c>
      <c r="U2362" s="13" t="s">
        <v>52</v>
      </c>
      <c r="V2362" s="13" t="s">
        <v>89</v>
      </c>
      <c r="W2362" s="12">
        <v>10</v>
      </c>
      <c r="X2362" s="33" t="str">
        <f>HYPERLINK("https://www.alpinabook.ru/catalog/book-khoroshiy-bratets-mertvyy-bratets","ссылка на книгу")</f>
        <v>ссылка на книгу</v>
      </c>
      <c r="Y2362" s="34" t="str">
        <f>HYPERLINK("https://api-enni.alpina.ru/FilePrivilegesApproval/520","https://api-enni.alpina.ru/FilePrivilegesApproval/520")</f>
        <v>https://api-enni.alpina.ru/FilePrivilegesApproval/520</v>
      </c>
      <c r="Z2362" s="13"/>
      <c r="AT2362" s="1">
        <f t="shared" si="450"/>
        <v>0</v>
      </c>
      <c r="AU2362" s="1">
        <f t="shared" si="451"/>
        <v>0</v>
      </c>
      <c r="AV2362" s="1">
        <f t="shared" si="452"/>
        <v>0</v>
      </c>
      <c r="AW2362" s="1">
        <f t="shared" si="453"/>
        <v>0</v>
      </c>
      <c r="AX2362" s="1">
        <f t="shared" si="454"/>
        <v>0</v>
      </c>
    </row>
    <row r="2363" spans="1:50" s="1" customFormat="1" ht="24.95" customHeight="1" outlineLevel="3" x14ac:dyDescent="0.2">
      <c r="A2363" s="11"/>
      <c r="B2363" s="12">
        <v>680</v>
      </c>
      <c r="C2363" s="12">
        <v>840</v>
      </c>
      <c r="D2363" s="12">
        <v>32099</v>
      </c>
      <c r="E2363" s="13" t="s">
        <v>7705</v>
      </c>
      <c r="F2363" s="13" t="s">
        <v>7706</v>
      </c>
      <c r="G2363" s="13" t="s">
        <v>39</v>
      </c>
      <c r="H2363" s="13"/>
      <c r="I2363" s="12">
        <v>2025</v>
      </c>
      <c r="J2363" s="13" t="s">
        <v>7707</v>
      </c>
      <c r="K2363" s="12">
        <v>9785002234776</v>
      </c>
      <c r="L2363" s="13" t="s">
        <v>7708</v>
      </c>
      <c r="M2363" s="12">
        <v>284</v>
      </c>
      <c r="N2363" s="14">
        <v>0.28999999999999998</v>
      </c>
      <c r="O2363" s="12">
        <v>140</v>
      </c>
      <c r="P2363" s="12">
        <v>210</v>
      </c>
      <c r="Q2363" s="12">
        <v>12</v>
      </c>
      <c r="R2363" s="13" t="s">
        <v>82</v>
      </c>
      <c r="S2363" s="13"/>
      <c r="T2363" s="15">
        <v>2000</v>
      </c>
      <c r="U2363" s="13" t="s">
        <v>52</v>
      </c>
      <c r="V2363" s="13" t="s">
        <v>89</v>
      </c>
      <c r="W2363" s="12">
        <v>10</v>
      </c>
      <c r="X2363" s="33" t="str">
        <f>HYPERLINK("https://www.alpinabook.ru/catalog/book-khrustalnyy-dom","ссылка на книгу")</f>
        <v>ссылка на книгу</v>
      </c>
      <c r="Y2363" s="34" t="str">
        <f>HYPERLINK("https://api-enni.alpina.ru/FilePrivilegesApproval/869","https://api-enni.alpina.ru/FilePrivilegesApproval/869")</f>
        <v>https://api-enni.alpina.ru/FilePrivilegesApproval/869</v>
      </c>
      <c r="Z2363" s="13" t="s">
        <v>1406</v>
      </c>
      <c r="AT2363" s="1">
        <f t="shared" si="450"/>
        <v>0</v>
      </c>
      <c r="AU2363" s="1">
        <f t="shared" si="451"/>
        <v>0</v>
      </c>
      <c r="AV2363" s="1">
        <f t="shared" si="452"/>
        <v>0</v>
      </c>
      <c r="AW2363" s="1">
        <f t="shared" si="453"/>
        <v>0</v>
      </c>
      <c r="AX2363" s="1">
        <f t="shared" si="454"/>
        <v>0</v>
      </c>
    </row>
    <row r="2364" spans="1:50" s="1" customFormat="1" ht="21.95" customHeight="1" outlineLevel="3" x14ac:dyDescent="0.2">
      <c r="A2364" s="11"/>
      <c r="B2364" s="12">
        <v>640</v>
      </c>
      <c r="C2364" s="12">
        <v>940</v>
      </c>
      <c r="D2364" s="12">
        <v>28072</v>
      </c>
      <c r="E2364" s="13" t="s">
        <v>114</v>
      </c>
      <c r="F2364" s="13" t="s">
        <v>7709</v>
      </c>
      <c r="G2364" s="13" t="s">
        <v>39</v>
      </c>
      <c r="H2364" s="13"/>
      <c r="I2364" s="12">
        <v>2024</v>
      </c>
      <c r="J2364" s="13" t="s">
        <v>7710</v>
      </c>
      <c r="K2364" s="12">
        <v>9785001399919</v>
      </c>
      <c r="L2364" s="13" t="s">
        <v>7711</v>
      </c>
      <c r="M2364" s="12">
        <v>440</v>
      </c>
      <c r="N2364" s="14">
        <v>0.48</v>
      </c>
      <c r="O2364" s="12">
        <v>150</v>
      </c>
      <c r="P2364" s="12">
        <v>220</v>
      </c>
      <c r="Q2364" s="12">
        <v>8</v>
      </c>
      <c r="R2364" s="13" t="s">
        <v>43</v>
      </c>
      <c r="S2364" s="13"/>
      <c r="T2364" s="15">
        <v>2500</v>
      </c>
      <c r="U2364" s="13" t="s">
        <v>52</v>
      </c>
      <c r="V2364" s="13" t="s">
        <v>89</v>
      </c>
      <c r="W2364" s="12">
        <v>20</v>
      </c>
      <c r="X2364" s="33" t="str">
        <f>HYPERLINK("https://www.alpinabook.ru/catalog/book-tsar-velel-tebya-povesit","ссылка на книгу")</f>
        <v>ссылка на книгу</v>
      </c>
      <c r="Y2364" s="34" t="str">
        <f>HYPERLINK("","")</f>
        <v/>
      </c>
      <c r="Z2364" s="13"/>
      <c r="AT2364" s="1">
        <f t="shared" si="450"/>
        <v>0</v>
      </c>
      <c r="AU2364" s="1">
        <f t="shared" si="451"/>
        <v>0</v>
      </c>
      <c r="AV2364" s="1">
        <f t="shared" si="452"/>
        <v>0</v>
      </c>
      <c r="AW2364" s="1">
        <f t="shared" si="453"/>
        <v>0</v>
      </c>
      <c r="AX2364" s="1">
        <f t="shared" si="454"/>
        <v>0</v>
      </c>
    </row>
    <row r="2365" spans="1:50" s="1" customFormat="1" ht="21.95" customHeight="1" outlineLevel="3" x14ac:dyDescent="0.2">
      <c r="A2365" s="11"/>
      <c r="B2365" s="12">
        <v>740</v>
      </c>
      <c r="C2365" s="12">
        <v>990</v>
      </c>
      <c r="D2365" s="12">
        <v>26818</v>
      </c>
      <c r="E2365" s="13" t="s">
        <v>2209</v>
      </c>
      <c r="F2365" s="13" t="s">
        <v>7712</v>
      </c>
      <c r="G2365" s="13" t="s">
        <v>39</v>
      </c>
      <c r="H2365" s="13"/>
      <c r="I2365" s="12">
        <v>2025</v>
      </c>
      <c r="J2365" s="13" t="s">
        <v>7713</v>
      </c>
      <c r="K2365" s="12">
        <v>9785001398417</v>
      </c>
      <c r="L2365" s="13" t="s">
        <v>7714</v>
      </c>
      <c r="M2365" s="12">
        <v>528</v>
      </c>
      <c r="N2365" s="14">
        <v>0.54</v>
      </c>
      <c r="O2365" s="12">
        <v>140</v>
      </c>
      <c r="P2365" s="12">
        <v>210</v>
      </c>
      <c r="Q2365" s="12">
        <v>6</v>
      </c>
      <c r="R2365" s="13" t="s">
        <v>43</v>
      </c>
      <c r="S2365" s="13"/>
      <c r="T2365" s="15">
        <v>2000</v>
      </c>
      <c r="U2365" s="13" t="s">
        <v>44</v>
      </c>
      <c r="V2365" s="13" t="s">
        <v>89</v>
      </c>
      <c r="W2365" s="12">
        <v>20</v>
      </c>
      <c r="X2365" s="33" t="str">
        <f>HYPERLINK("https://www.alpinabook.ru/catalog/book-tsentr-tyazhesti","ссылка на книгу")</f>
        <v>ссылка на книгу</v>
      </c>
      <c r="Y2365" s="34" t="str">
        <f>HYPERLINK("","")</f>
        <v/>
      </c>
      <c r="Z2365" s="13" t="s">
        <v>1406</v>
      </c>
      <c r="AT2365" s="1">
        <f t="shared" ref="AT2365:AT2373" si="455">IF($A2365&lt;&gt;0,1,0)</f>
        <v>0</v>
      </c>
      <c r="AU2365" s="1">
        <f t="shared" ref="AU2365:AU2373" si="456">$A2365*$B2365</f>
        <v>0</v>
      </c>
      <c r="AV2365" s="1">
        <f t="shared" ref="AV2365:AV2373" si="457">$A2365*$N2365</f>
        <v>0</v>
      </c>
      <c r="AW2365" s="1">
        <f t="shared" ref="AW2365:AW2373" si="458">IF($Q2365=0,0,INT($A2365/$Q2365))</f>
        <v>0</v>
      </c>
      <c r="AX2365" s="1">
        <f t="shared" ref="AX2365:AX2373" si="459">$A2365-$AW2365*$Q2365</f>
        <v>0</v>
      </c>
    </row>
    <row r="2366" spans="1:50" s="1" customFormat="1" ht="24.95" customHeight="1" outlineLevel="3" x14ac:dyDescent="0.2">
      <c r="A2366" s="11"/>
      <c r="B2366" s="12">
        <v>540</v>
      </c>
      <c r="C2366" s="12">
        <v>590</v>
      </c>
      <c r="D2366" s="12">
        <v>24236</v>
      </c>
      <c r="E2366" s="13" t="s">
        <v>7458</v>
      </c>
      <c r="F2366" s="13" t="s">
        <v>7715</v>
      </c>
      <c r="G2366" s="13" t="s">
        <v>39</v>
      </c>
      <c r="H2366" s="13"/>
      <c r="I2366" s="12">
        <v>2022</v>
      </c>
      <c r="J2366" s="13" t="s">
        <v>7716</v>
      </c>
      <c r="K2366" s="12">
        <v>9785001395690</v>
      </c>
      <c r="L2366" s="13" t="s">
        <v>7717</v>
      </c>
      <c r="M2366" s="12">
        <v>244</v>
      </c>
      <c r="N2366" s="14">
        <v>0.3</v>
      </c>
      <c r="O2366" s="12">
        <v>130</v>
      </c>
      <c r="P2366" s="12">
        <v>206</v>
      </c>
      <c r="Q2366" s="12">
        <v>16</v>
      </c>
      <c r="R2366" s="13" t="s">
        <v>82</v>
      </c>
      <c r="S2366" s="13"/>
      <c r="T2366" s="15">
        <v>5000</v>
      </c>
      <c r="U2366" s="13" t="s">
        <v>52</v>
      </c>
      <c r="V2366" s="13" t="s">
        <v>45</v>
      </c>
      <c r="W2366" s="12">
        <v>10</v>
      </c>
      <c r="X2366" s="33" t="str">
        <f>HYPERLINK("https://www.alpinabook.ru/catalog/book-chyernoe-palto","ссылка на книгу")</f>
        <v>ссылка на книгу</v>
      </c>
      <c r="Y2366" s="34" t="str">
        <f>HYPERLINK("https://api-enni.alpina.ru/FilePrivilegesApproval/127","https://api-enni.alpina.ru/FilePrivilegesApproval/127")</f>
        <v>https://api-enni.alpina.ru/FilePrivilegesApproval/127</v>
      </c>
      <c r="Z2366" s="13"/>
      <c r="AT2366" s="1">
        <f t="shared" si="455"/>
        <v>0</v>
      </c>
      <c r="AU2366" s="1">
        <f t="shared" si="456"/>
        <v>0</v>
      </c>
      <c r="AV2366" s="1">
        <f t="shared" si="457"/>
        <v>0</v>
      </c>
      <c r="AW2366" s="1">
        <f t="shared" si="458"/>
        <v>0</v>
      </c>
      <c r="AX2366" s="1">
        <f t="shared" si="459"/>
        <v>0</v>
      </c>
    </row>
    <row r="2367" spans="1:50" s="1" customFormat="1" ht="24.95" customHeight="1" outlineLevel="3" x14ac:dyDescent="0.2">
      <c r="A2367" s="11"/>
      <c r="B2367" s="12">
        <v>290</v>
      </c>
      <c r="C2367" s="12">
        <v>490</v>
      </c>
      <c r="D2367" s="12">
        <v>27389</v>
      </c>
      <c r="E2367" s="13" t="s">
        <v>7458</v>
      </c>
      <c r="F2367" s="13" t="s">
        <v>7718</v>
      </c>
      <c r="G2367" s="13" t="s">
        <v>39</v>
      </c>
      <c r="H2367" s="13"/>
      <c r="I2367" s="12">
        <v>2023</v>
      </c>
      <c r="J2367" s="13" t="s">
        <v>7719</v>
      </c>
      <c r="K2367" s="12">
        <v>9785001399285</v>
      </c>
      <c r="L2367" s="13" t="s">
        <v>7720</v>
      </c>
      <c r="M2367" s="12">
        <v>288</v>
      </c>
      <c r="N2367" s="14">
        <v>0.2</v>
      </c>
      <c r="O2367" s="12">
        <v>120</v>
      </c>
      <c r="P2367" s="12">
        <v>170</v>
      </c>
      <c r="Q2367" s="12">
        <v>8</v>
      </c>
      <c r="R2367" s="13" t="s">
        <v>75</v>
      </c>
      <c r="S2367" s="13" t="s">
        <v>7186</v>
      </c>
      <c r="T2367" s="15">
        <v>4000</v>
      </c>
      <c r="U2367" s="13" t="s">
        <v>44</v>
      </c>
      <c r="V2367" s="13" t="s">
        <v>45</v>
      </c>
      <c r="W2367" s="12">
        <v>10</v>
      </c>
      <c r="X2367" s="33" t="str">
        <f>HYPERLINK("https://www.alpinabook.ru/catalog/book-chyernoe-palto","ссылка на книгу")</f>
        <v>ссылка на книгу</v>
      </c>
      <c r="Y2367" s="34" t="str">
        <f>HYPERLINK("https://api-enni.alpina.ru/FilePrivilegesApproval/127","https://api-enni.alpina.ru/FilePrivilegesApproval/127")</f>
        <v>https://api-enni.alpina.ru/FilePrivilegesApproval/127</v>
      </c>
      <c r="Z2367" s="13"/>
      <c r="AT2367" s="1">
        <f t="shared" si="455"/>
        <v>0</v>
      </c>
      <c r="AU2367" s="1">
        <f t="shared" si="456"/>
        <v>0</v>
      </c>
      <c r="AV2367" s="1">
        <f t="shared" si="457"/>
        <v>0</v>
      </c>
      <c r="AW2367" s="1">
        <f t="shared" si="458"/>
        <v>0</v>
      </c>
      <c r="AX2367" s="1">
        <f t="shared" si="459"/>
        <v>0</v>
      </c>
    </row>
    <row r="2368" spans="1:50" s="1" customFormat="1" ht="24.95" customHeight="1" outlineLevel="3" x14ac:dyDescent="0.2">
      <c r="A2368" s="11"/>
      <c r="B2368" s="12">
        <v>540</v>
      </c>
      <c r="C2368" s="12">
        <v>740</v>
      </c>
      <c r="D2368" s="12">
        <v>31565</v>
      </c>
      <c r="E2368" s="13" t="s">
        <v>7721</v>
      </c>
      <c r="F2368" s="13" t="s">
        <v>7722</v>
      </c>
      <c r="G2368" s="13" t="s">
        <v>39</v>
      </c>
      <c r="H2368" s="13"/>
      <c r="I2368" s="12">
        <v>2025</v>
      </c>
      <c r="J2368" s="13" t="s">
        <v>7723</v>
      </c>
      <c r="K2368" s="12">
        <v>9785002233977</v>
      </c>
      <c r="L2368" s="13" t="s">
        <v>7724</v>
      </c>
      <c r="M2368" s="12">
        <v>208</v>
      </c>
      <c r="N2368" s="14">
        <v>0.23</v>
      </c>
      <c r="O2368" s="12">
        <v>130</v>
      </c>
      <c r="P2368" s="12">
        <v>210</v>
      </c>
      <c r="Q2368" s="12">
        <v>14</v>
      </c>
      <c r="R2368" s="13" t="s">
        <v>82</v>
      </c>
      <c r="S2368" s="13"/>
      <c r="T2368" s="15">
        <v>2000</v>
      </c>
      <c r="U2368" s="13" t="s">
        <v>52</v>
      </c>
      <c r="V2368" s="13" t="s">
        <v>45</v>
      </c>
      <c r="W2368" s="12">
        <v>10</v>
      </c>
      <c r="X2368" s="33" t="str">
        <f>HYPERLINK("https://www.alpinabook.ru/catalog/book-chuzhaya-storona","ссылка на книгу")</f>
        <v>ссылка на книгу</v>
      </c>
      <c r="Y2368" s="34" t="str">
        <f>HYPERLINK("https://api-enni.alpina.ru/FilePrivilegesApproval/741","https://api-enni.alpina.ru/FilePrivilegesApproval/741")</f>
        <v>https://api-enni.alpina.ru/FilePrivilegesApproval/741</v>
      </c>
      <c r="Z2368" s="13"/>
      <c r="AT2368" s="1">
        <f t="shared" si="455"/>
        <v>0</v>
      </c>
      <c r="AU2368" s="1">
        <f t="shared" si="456"/>
        <v>0</v>
      </c>
      <c r="AV2368" s="1">
        <f t="shared" si="457"/>
        <v>0</v>
      </c>
      <c r="AW2368" s="1">
        <f t="shared" si="458"/>
        <v>0</v>
      </c>
      <c r="AX2368" s="1">
        <f t="shared" si="459"/>
        <v>0</v>
      </c>
    </row>
    <row r="2369" spans="1:50" s="1" customFormat="1" ht="21.95" customHeight="1" outlineLevel="3" x14ac:dyDescent="0.2">
      <c r="A2369" s="11"/>
      <c r="B2369" s="12">
        <v>620</v>
      </c>
      <c r="C2369" s="12">
        <v>840</v>
      </c>
      <c r="D2369" s="12">
        <v>31215</v>
      </c>
      <c r="E2369" s="13" t="s">
        <v>7358</v>
      </c>
      <c r="F2369" s="13" t="s">
        <v>7725</v>
      </c>
      <c r="G2369" s="13" t="s">
        <v>39</v>
      </c>
      <c r="H2369" s="13"/>
      <c r="I2369" s="12">
        <v>2024</v>
      </c>
      <c r="J2369" s="13" t="s">
        <v>7726</v>
      </c>
      <c r="K2369" s="12">
        <v>9785002233540</v>
      </c>
      <c r="L2369" s="13" t="s">
        <v>7727</v>
      </c>
      <c r="M2369" s="12">
        <v>280</v>
      </c>
      <c r="N2369" s="14">
        <v>0.28999999999999998</v>
      </c>
      <c r="O2369" s="12">
        <v>130</v>
      </c>
      <c r="P2369" s="12">
        <v>210</v>
      </c>
      <c r="Q2369" s="12">
        <v>12</v>
      </c>
      <c r="R2369" s="13" t="s">
        <v>82</v>
      </c>
      <c r="S2369" s="13"/>
      <c r="T2369" s="15">
        <v>2000</v>
      </c>
      <c r="U2369" s="13" t="s">
        <v>52</v>
      </c>
      <c r="V2369" s="13" t="s">
        <v>89</v>
      </c>
      <c r="W2369" s="12">
        <v>20</v>
      </c>
      <c r="X2369" s="33" t="str">
        <f>HYPERLINK("https://www.alpinabook.ru/catalog/book-chuzherodnye","ссылка на книгу")</f>
        <v>ссылка на книгу</v>
      </c>
      <c r="Y2369" s="34" t="str">
        <f>HYPERLINK("","")</f>
        <v/>
      </c>
      <c r="Z2369" s="13"/>
      <c r="AT2369" s="1">
        <f t="shared" si="455"/>
        <v>0</v>
      </c>
      <c r="AU2369" s="1">
        <f t="shared" si="456"/>
        <v>0</v>
      </c>
      <c r="AV2369" s="1">
        <f t="shared" si="457"/>
        <v>0</v>
      </c>
      <c r="AW2369" s="1">
        <f t="shared" si="458"/>
        <v>0</v>
      </c>
      <c r="AX2369" s="1">
        <f t="shared" si="459"/>
        <v>0</v>
      </c>
    </row>
    <row r="2370" spans="1:50" s="1" customFormat="1" ht="24.95" customHeight="1" outlineLevel="3" x14ac:dyDescent="0.2">
      <c r="A2370" s="11"/>
      <c r="B2370" s="12">
        <v>590</v>
      </c>
      <c r="C2370" s="12">
        <v>840</v>
      </c>
      <c r="D2370" s="12">
        <v>23629</v>
      </c>
      <c r="E2370" s="13" t="s">
        <v>572</v>
      </c>
      <c r="F2370" s="13" t="s">
        <v>7728</v>
      </c>
      <c r="G2370" s="13" t="s">
        <v>39</v>
      </c>
      <c r="H2370" s="13"/>
      <c r="I2370" s="12">
        <v>2024</v>
      </c>
      <c r="J2370" s="13" t="s">
        <v>7729</v>
      </c>
      <c r="K2370" s="12">
        <v>9785001395195</v>
      </c>
      <c r="L2370" s="13" t="s">
        <v>7730</v>
      </c>
      <c r="M2370" s="12">
        <v>280</v>
      </c>
      <c r="N2370" s="14">
        <v>0.33</v>
      </c>
      <c r="O2370" s="12">
        <v>140</v>
      </c>
      <c r="P2370" s="12">
        <v>210</v>
      </c>
      <c r="Q2370" s="12">
        <v>12</v>
      </c>
      <c r="R2370" s="13" t="s">
        <v>82</v>
      </c>
      <c r="S2370" s="13"/>
      <c r="T2370" s="15">
        <v>1500</v>
      </c>
      <c r="U2370" s="13" t="s">
        <v>52</v>
      </c>
      <c r="V2370" s="13" t="s">
        <v>89</v>
      </c>
      <c r="W2370" s="12">
        <v>10</v>
      </c>
      <c r="X2370" s="33" t="str">
        <f>HYPERLINK("https://www.alpinabook.ru/catalog/book-shatuny","ссылка на книгу")</f>
        <v>ссылка на книгу</v>
      </c>
      <c r="Y2370" s="34" t="str">
        <f>HYPERLINK("https://api-enni.alpina.ru/FilePrivilegesApproval/146","https://api-enni.alpina.ru/FilePrivilegesApproval/146")</f>
        <v>https://api-enni.alpina.ru/FilePrivilegesApproval/146</v>
      </c>
      <c r="Z2370" s="13"/>
      <c r="AT2370" s="1">
        <f t="shared" si="455"/>
        <v>0</v>
      </c>
      <c r="AU2370" s="1">
        <f t="shared" si="456"/>
        <v>0</v>
      </c>
      <c r="AV2370" s="1">
        <f t="shared" si="457"/>
        <v>0</v>
      </c>
      <c r="AW2370" s="1">
        <f t="shared" si="458"/>
        <v>0</v>
      </c>
      <c r="AX2370" s="1">
        <f t="shared" si="459"/>
        <v>0</v>
      </c>
    </row>
    <row r="2371" spans="1:50" s="1" customFormat="1" ht="24.95" customHeight="1" outlineLevel="3" x14ac:dyDescent="0.2">
      <c r="A2371" s="11"/>
      <c r="B2371" s="12">
        <v>340</v>
      </c>
      <c r="C2371" s="12">
        <v>540</v>
      </c>
      <c r="D2371" s="12">
        <v>27391</v>
      </c>
      <c r="E2371" s="13" t="s">
        <v>572</v>
      </c>
      <c r="F2371" s="13" t="s">
        <v>7731</v>
      </c>
      <c r="G2371" s="13" t="s">
        <v>39</v>
      </c>
      <c r="H2371" s="13"/>
      <c r="I2371" s="12">
        <v>2025</v>
      </c>
      <c r="J2371" s="13" t="s">
        <v>7732</v>
      </c>
      <c r="K2371" s="12">
        <v>9785001399292</v>
      </c>
      <c r="L2371" s="13" t="s">
        <v>7733</v>
      </c>
      <c r="M2371" s="12">
        <v>256</v>
      </c>
      <c r="N2371" s="14">
        <v>0.17</v>
      </c>
      <c r="O2371" s="12">
        <v>120</v>
      </c>
      <c r="P2371" s="12">
        <v>170</v>
      </c>
      <c r="Q2371" s="12">
        <v>28</v>
      </c>
      <c r="R2371" s="13" t="s">
        <v>75</v>
      </c>
      <c r="S2371" s="13" t="s">
        <v>7186</v>
      </c>
      <c r="T2371" s="15">
        <v>2000</v>
      </c>
      <c r="U2371" s="13" t="s">
        <v>44</v>
      </c>
      <c r="V2371" s="13" t="s">
        <v>89</v>
      </c>
      <c r="W2371" s="12">
        <v>10</v>
      </c>
      <c r="X2371" s="33" t="str">
        <f>HYPERLINK("https://www.alpinabook.ru/catalog/book-shatuny","ссылка на книгу")</f>
        <v>ссылка на книгу</v>
      </c>
      <c r="Y2371" s="34" t="str">
        <f>HYPERLINK("https://api-enni.alpina.ru/FilePrivilegesApproval/150","https://api-enni.alpina.ru/FilePrivilegesApproval/150")</f>
        <v>https://api-enni.alpina.ru/FilePrivilegesApproval/150</v>
      </c>
      <c r="Z2371" s="13" t="s">
        <v>865</v>
      </c>
      <c r="AT2371" s="1">
        <f t="shared" si="455"/>
        <v>0</v>
      </c>
      <c r="AU2371" s="1">
        <f t="shared" si="456"/>
        <v>0</v>
      </c>
      <c r="AV2371" s="1">
        <f t="shared" si="457"/>
        <v>0</v>
      </c>
      <c r="AW2371" s="1">
        <f t="shared" si="458"/>
        <v>0</v>
      </c>
      <c r="AX2371" s="1">
        <f t="shared" si="459"/>
        <v>0</v>
      </c>
    </row>
    <row r="2372" spans="1:50" s="1" customFormat="1" ht="24.95" customHeight="1" outlineLevel="3" x14ac:dyDescent="0.2">
      <c r="A2372" s="11"/>
      <c r="B2372" s="12">
        <v>440</v>
      </c>
      <c r="C2372" s="12">
        <v>440</v>
      </c>
      <c r="D2372" s="12">
        <v>26572</v>
      </c>
      <c r="E2372" s="13" t="s">
        <v>7734</v>
      </c>
      <c r="F2372" s="13" t="s">
        <v>7735</v>
      </c>
      <c r="G2372" s="13" t="s">
        <v>39</v>
      </c>
      <c r="H2372" s="13"/>
      <c r="I2372" s="12">
        <v>2023</v>
      </c>
      <c r="J2372" s="13" t="s">
        <v>7736</v>
      </c>
      <c r="K2372" s="12">
        <v>9785001397915</v>
      </c>
      <c r="L2372" s="13" t="s">
        <v>7737</v>
      </c>
      <c r="M2372" s="12">
        <v>176</v>
      </c>
      <c r="N2372" s="14">
        <v>0.15</v>
      </c>
      <c r="O2372" s="12">
        <v>130</v>
      </c>
      <c r="P2372" s="12">
        <v>200</v>
      </c>
      <c r="Q2372" s="12">
        <v>20</v>
      </c>
      <c r="R2372" s="13" t="s">
        <v>82</v>
      </c>
      <c r="S2372" s="13"/>
      <c r="T2372" s="15">
        <v>1500</v>
      </c>
      <c r="U2372" s="13" t="s">
        <v>44</v>
      </c>
      <c r="V2372" s="13" t="s">
        <v>89</v>
      </c>
      <c r="W2372" s="12">
        <v>10</v>
      </c>
      <c r="X2372" s="33" t="str">
        <f>HYPERLINK("https://www.alpinabook.ru/catalog/book-eto-ne-lechitsya","ссылка на книгу")</f>
        <v>ссылка на книгу</v>
      </c>
      <c r="Y2372" s="34" t="str">
        <f>HYPERLINK("https://api-enni.alpina.ru/FilePrivilegesApproval/171","https://api-enni.alpina.ru/FilePrivilegesApproval/171")</f>
        <v>https://api-enni.alpina.ru/FilePrivilegesApproval/171</v>
      </c>
      <c r="Z2372" s="13"/>
      <c r="AT2372" s="1">
        <f t="shared" si="455"/>
        <v>0</v>
      </c>
      <c r="AU2372" s="1">
        <f t="shared" si="456"/>
        <v>0</v>
      </c>
      <c r="AV2372" s="1">
        <f t="shared" si="457"/>
        <v>0</v>
      </c>
      <c r="AW2372" s="1">
        <f t="shared" si="458"/>
        <v>0</v>
      </c>
      <c r="AX2372" s="1">
        <f t="shared" si="459"/>
        <v>0</v>
      </c>
    </row>
    <row r="2373" spans="1:50" s="1" customFormat="1" ht="21.95" customHeight="1" outlineLevel="3" x14ac:dyDescent="0.2">
      <c r="A2373" s="11"/>
      <c r="B2373" s="12">
        <v>690</v>
      </c>
      <c r="C2373" s="12">
        <v>990</v>
      </c>
      <c r="D2373" s="12">
        <v>30133</v>
      </c>
      <c r="E2373" s="13" t="s">
        <v>7634</v>
      </c>
      <c r="F2373" s="13" t="s">
        <v>7738</v>
      </c>
      <c r="G2373" s="13" t="s">
        <v>3511</v>
      </c>
      <c r="H2373" s="13"/>
      <c r="I2373" s="12">
        <v>2024</v>
      </c>
      <c r="J2373" s="13" t="s">
        <v>7739</v>
      </c>
      <c r="K2373" s="12">
        <v>9785002160426</v>
      </c>
      <c r="L2373" s="13" t="s">
        <v>7740</v>
      </c>
      <c r="M2373" s="12">
        <v>448</v>
      </c>
      <c r="N2373" s="14">
        <v>0.47</v>
      </c>
      <c r="O2373" s="12">
        <v>150</v>
      </c>
      <c r="P2373" s="12">
        <v>210</v>
      </c>
      <c r="Q2373" s="12">
        <v>8</v>
      </c>
      <c r="R2373" s="13" t="s">
        <v>43</v>
      </c>
      <c r="S2373" s="13" t="s">
        <v>7638</v>
      </c>
      <c r="T2373" s="15">
        <v>2017</v>
      </c>
      <c r="U2373" s="13" t="s">
        <v>44</v>
      </c>
      <c r="V2373" s="13" t="s">
        <v>45</v>
      </c>
      <c r="W2373" s="12">
        <v>10</v>
      </c>
      <c r="X2373" s="33" t="str">
        <f>HYPERLINK("https://www.alpinabook.ru/catalog/book-effekt-rebindera","ссылка на книгу")</f>
        <v>ссылка на книгу</v>
      </c>
      <c r="Y2373" s="34" t="str">
        <f>HYPERLINK("","")</f>
        <v/>
      </c>
      <c r="Z2373" s="13"/>
      <c r="AT2373" s="1">
        <f t="shared" si="455"/>
        <v>0</v>
      </c>
      <c r="AU2373" s="1">
        <f t="shared" si="456"/>
        <v>0</v>
      </c>
      <c r="AV2373" s="1">
        <f t="shared" si="457"/>
        <v>0</v>
      </c>
      <c r="AW2373" s="1">
        <f t="shared" si="458"/>
        <v>0</v>
      </c>
      <c r="AX2373" s="1">
        <f t="shared" si="459"/>
        <v>0</v>
      </c>
    </row>
    <row r="2374" spans="1:50" ht="11.1" customHeight="1" outlineLevel="2" x14ac:dyDescent="0.2">
      <c r="A2374" s="40" t="s">
        <v>7741</v>
      </c>
      <c r="B2374" s="40"/>
      <c r="C2374" s="40"/>
      <c r="D2374" s="40"/>
      <c r="E2374" s="40"/>
      <c r="F2374" s="40"/>
      <c r="G2374" s="40"/>
      <c r="H2374" s="40"/>
      <c r="I2374" s="40"/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20"/>
    </row>
    <row r="2375" spans="1:50" s="1" customFormat="1" ht="24.95" customHeight="1" outlineLevel="3" x14ac:dyDescent="0.2">
      <c r="A2375" s="11"/>
      <c r="B2375" s="12">
        <v>240</v>
      </c>
      <c r="C2375" s="12">
        <v>390</v>
      </c>
      <c r="D2375" s="12">
        <v>26207</v>
      </c>
      <c r="E2375" s="13" t="s">
        <v>7155</v>
      </c>
      <c r="F2375" s="13" t="s">
        <v>7742</v>
      </c>
      <c r="G2375" s="13" t="s">
        <v>39</v>
      </c>
      <c r="H2375" s="13" t="s">
        <v>40</v>
      </c>
      <c r="I2375" s="12">
        <v>2025</v>
      </c>
      <c r="J2375" s="13" t="s">
        <v>7743</v>
      </c>
      <c r="K2375" s="12">
        <v>9785961480801</v>
      </c>
      <c r="L2375" s="13" t="s">
        <v>7744</v>
      </c>
      <c r="M2375" s="12">
        <v>384</v>
      </c>
      <c r="N2375" s="14">
        <v>0.26</v>
      </c>
      <c r="O2375" s="12">
        <v>120</v>
      </c>
      <c r="P2375" s="12">
        <v>170</v>
      </c>
      <c r="Q2375" s="12">
        <v>8</v>
      </c>
      <c r="R2375" s="13" t="s">
        <v>75</v>
      </c>
      <c r="S2375" s="13" t="s">
        <v>7159</v>
      </c>
      <c r="T2375" s="15">
        <v>5000</v>
      </c>
      <c r="U2375" s="13" t="s">
        <v>44</v>
      </c>
      <c r="V2375" s="13" t="s">
        <v>45</v>
      </c>
      <c r="W2375" s="12">
        <v>10</v>
      </c>
      <c r="X2375" s="33" t="str">
        <f>HYPERLINK("https://www.alpinabook.ru/catalog/book-1984","ссылка на книгу")</f>
        <v>ссылка на книгу</v>
      </c>
      <c r="Y2375" s="34" t="str">
        <f>HYPERLINK("https://api-enni.alpina.ru/FilePrivilegesApproval/156","https://api-enni.alpina.ru/FilePrivilegesApproval/156")</f>
        <v>https://api-enni.alpina.ru/FilePrivilegesApproval/156</v>
      </c>
      <c r="Z2375" s="13"/>
      <c r="AT2375" s="1">
        <f>IF($A2375&lt;&gt;0,1,0)</f>
        <v>0</v>
      </c>
      <c r="AU2375" s="1">
        <f>$A2375*$B2375</f>
        <v>0</v>
      </c>
      <c r="AV2375" s="1">
        <f>$A2375*$N2375</f>
        <v>0</v>
      </c>
      <c r="AW2375" s="1">
        <f>IF($Q2375=0,0,INT($A2375/$Q2375))</f>
        <v>0</v>
      </c>
      <c r="AX2375" s="1">
        <f>$A2375-$AW2375*$Q2375</f>
        <v>0</v>
      </c>
    </row>
    <row r="2376" spans="1:50" s="1" customFormat="1" ht="24.95" customHeight="1" outlineLevel="3" x14ac:dyDescent="0.2">
      <c r="A2376" s="11"/>
      <c r="B2376" s="12">
        <v>850</v>
      </c>
      <c r="C2376" s="15">
        <v>1090</v>
      </c>
      <c r="D2376" s="12">
        <v>2441</v>
      </c>
      <c r="E2376" s="13" t="s">
        <v>291</v>
      </c>
      <c r="F2376" s="13" t="s">
        <v>7745</v>
      </c>
      <c r="G2376" s="13" t="s">
        <v>39</v>
      </c>
      <c r="H2376" s="13" t="s">
        <v>40</v>
      </c>
      <c r="I2376" s="12">
        <v>2025</v>
      </c>
      <c r="J2376" s="13" t="s">
        <v>7746</v>
      </c>
      <c r="K2376" s="12">
        <v>9785961468595</v>
      </c>
      <c r="L2376" s="13" t="s">
        <v>7747</v>
      </c>
      <c r="M2376" s="15">
        <v>1136</v>
      </c>
      <c r="N2376" s="14">
        <v>1.1200000000000001</v>
      </c>
      <c r="O2376" s="12">
        <v>140</v>
      </c>
      <c r="P2376" s="12">
        <v>210</v>
      </c>
      <c r="Q2376" s="12">
        <v>4</v>
      </c>
      <c r="R2376" s="13" t="s">
        <v>43</v>
      </c>
      <c r="S2376" s="13"/>
      <c r="T2376" s="15">
        <v>7000</v>
      </c>
      <c r="U2376" s="13" t="s">
        <v>44</v>
      </c>
      <c r="V2376" s="13" t="s">
        <v>45</v>
      </c>
      <c r="W2376" s="12">
        <v>10</v>
      </c>
      <c r="X2376" s="33" t="str">
        <f>HYPERLINK("https://www.alpinabook.ru/catalog/book-atlant-raspravil-plechi","ссылка на книгу")</f>
        <v>ссылка на книгу</v>
      </c>
      <c r="Y2376" s="34" t="str">
        <f>HYPERLINK("https://api-enni.alpina.ru/FilePrivilegesApproval/2","https://api-enni.alpina.ru/FilePrivilegesApproval/2")</f>
        <v>https://api-enni.alpina.ru/FilePrivilegesApproval/2</v>
      </c>
      <c r="Z2376" s="13" t="s">
        <v>545</v>
      </c>
      <c r="AT2376" s="1">
        <f>IF($A2376&lt;&gt;0,1,0)</f>
        <v>0</v>
      </c>
      <c r="AU2376" s="1">
        <f>$A2376*$B2376</f>
        <v>0</v>
      </c>
      <c r="AV2376" s="1">
        <f>$A2376*$N2376</f>
        <v>0</v>
      </c>
      <c r="AW2376" s="1">
        <f>IF($Q2376=0,0,INT($A2376/$Q2376))</f>
        <v>0</v>
      </c>
      <c r="AX2376" s="1">
        <f>$A2376-$AW2376*$Q2376</f>
        <v>0</v>
      </c>
    </row>
    <row r="2377" spans="1:50" s="1" customFormat="1" ht="24.95" customHeight="1" outlineLevel="3" x14ac:dyDescent="0.2">
      <c r="A2377" s="11"/>
      <c r="B2377" s="12">
        <v>790</v>
      </c>
      <c r="C2377" s="12">
        <v>990</v>
      </c>
      <c r="D2377" s="12">
        <v>2578</v>
      </c>
      <c r="E2377" s="13" t="s">
        <v>291</v>
      </c>
      <c r="F2377" s="13" t="s">
        <v>7748</v>
      </c>
      <c r="G2377" s="13" t="s">
        <v>39</v>
      </c>
      <c r="H2377" s="13" t="s">
        <v>40</v>
      </c>
      <c r="I2377" s="12">
        <v>2025</v>
      </c>
      <c r="J2377" s="13" t="s">
        <v>7749</v>
      </c>
      <c r="K2377" s="12">
        <v>9785961467772</v>
      </c>
      <c r="L2377" s="13" t="s">
        <v>7750</v>
      </c>
      <c r="M2377" s="12">
        <v>800</v>
      </c>
      <c r="N2377" s="14">
        <v>0.72</v>
      </c>
      <c r="O2377" s="12">
        <v>141</v>
      </c>
      <c r="P2377" s="12">
        <v>210</v>
      </c>
      <c r="Q2377" s="12">
        <v>4</v>
      </c>
      <c r="R2377" s="13" t="s">
        <v>43</v>
      </c>
      <c r="S2377" s="13"/>
      <c r="T2377" s="15">
        <v>4000</v>
      </c>
      <c r="U2377" s="13" t="s">
        <v>44</v>
      </c>
      <c r="V2377" s="13" t="s">
        <v>45</v>
      </c>
      <c r="W2377" s="12">
        <v>10</v>
      </c>
      <c r="X2377" s="33" t="str">
        <f>HYPERLINK("https://www.alpinabook.ru/catalog/book-istochnik-2-toma","ссылка на книгу")</f>
        <v>ссылка на книгу</v>
      </c>
      <c r="Y2377" s="34" t="str">
        <f>HYPERLINK("https://api-enni.alpina.ru/FilePrivilegesApproval/2","https://api-enni.alpina.ru/FilePrivilegesApproval/2")</f>
        <v>https://api-enni.alpina.ru/FilePrivilegesApproval/2</v>
      </c>
      <c r="Z2377" s="13" t="s">
        <v>118</v>
      </c>
      <c r="AT2377" s="1">
        <f>IF($A2377&lt;&gt;0,1,0)</f>
        <v>0</v>
      </c>
      <c r="AU2377" s="1">
        <f>$A2377*$B2377</f>
        <v>0</v>
      </c>
      <c r="AV2377" s="1">
        <f>$A2377*$N2377</f>
        <v>0</v>
      </c>
      <c r="AW2377" s="1">
        <f>IF($Q2377=0,0,INT($A2377/$Q2377))</f>
        <v>0</v>
      </c>
      <c r="AX2377" s="1">
        <f>$A2377-$AW2377*$Q2377</f>
        <v>0</v>
      </c>
    </row>
    <row r="2378" spans="1:50" s="1" customFormat="1" ht="24.95" customHeight="1" outlineLevel="3" x14ac:dyDescent="0.2">
      <c r="A2378" s="11"/>
      <c r="B2378" s="12">
        <v>340</v>
      </c>
      <c r="C2378" s="12">
        <v>390</v>
      </c>
      <c r="D2378" s="12">
        <v>31848</v>
      </c>
      <c r="E2378" s="13" t="s">
        <v>7751</v>
      </c>
      <c r="F2378" s="13" t="s">
        <v>7752</v>
      </c>
      <c r="G2378" s="13" t="s">
        <v>39</v>
      </c>
      <c r="H2378" s="13" t="s">
        <v>164</v>
      </c>
      <c r="I2378" s="12">
        <v>2024</v>
      </c>
      <c r="J2378" s="13" t="s">
        <v>7753</v>
      </c>
      <c r="K2378" s="12">
        <v>9785006300408</v>
      </c>
      <c r="L2378" s="13" t="s">
        <v>7754</v>
      </c>
      <c r="M2378" s="12">
        <v>304</v>
      </c>
      <c r="N2378" s="14">
        <v>0.19</v>
      </c>
      <c r="O2378" s="12">
        <v>120</v>
      </c>
      <c r="P2378" s="12">
        <v>170</v>
      </c>
      <c r="Q2378" s="12">
        <v>12</v>
      </c>
      <c r="R2378" s="13" t="s">
        <v>75</v>
      </c>
      <c r="S2378" s="13" t="s">
        <v>7186</v>
      </c>
      <c r="T2378" s="15">
        <v>2000</v>
      </c>
      <c r="U2378" s="13" t="s">
        <v>44</v>
      </c>
      <c r="V2378" s="13" t="s">
        <v>45</v>
      </c>
      <c r="W2378" s="12">
        <v>10</v>
      </c>
      <c r="X2378" s="33" t="str">
        <f>HYPERLINK("https://www.alpinabook.ru/catalog/book-protsess","ссылка на книгу")</f>
        <v>ссылка на книгу</v>
      </c>
      <c r="Y2378" s="34" t="str">
        <f>HYPERLINK("https://api-enni.alpina.ru/FilePrivilegesApproval/724","https://api-enni.alpina.ru/FilePrivilegesApproval/724")</f>
        <v>https://api-enni.alpina.ru/FilePrivilegesApproval/724</v>
      </c>
      <c r="Z2378" s="13"/>
      <c r="AT2378" s="1">
        <f>IF($A2378&lt;&gt;0,1,0)</f>
        <v>0</v>
      </c>
      <c r="AU2378" s="1">
        <f>$A2378*$B2378</f>
        <v>0</v>
      </c>
      <c r="AV2378" s="1">
        <f>$A2378*$N2378</f>
        <v>0</v>
      </c>
      <c r="AW2378" s="1">
        <f>IF($Q2378=0,0,INT($A2378/$Q2378))</f>
        <v>0</v>
      </c>
      <c r="AX2378" s="1">
        <f>$A2378-$AW2378*$Q2378</f>
        <v>0</v>
      </c>
    </row>
    <row r="2379" spans="1:50" ht="11.1" customHeight="1" outlineLevel="2" x14ac:dyDescent="0.2">
      <c r="A2379" s="40" t="s">
        <v>7755</v>
      </c>
      <c r="B2379" s="40"/>
      <c r="C2379" s="40"/>
      <c r="D2379" s="40"/>
      <c r="E2379" s="40"/>
      <c r="F2379" s="40"/>
      <c r="G2379" s="40"/>
      <c r="H2379" s="40"/>
      <c r="I2379" s="40"/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20"/>
    </row>
    <row r="2380" spans="1:50" s="1" customFormat="1" ht="24.95" customHeight="1" outlineLevel="3" x14ac:dyDescent="0.2">
      <c r="A2380" s="11"/>
      <c r="B2380" s="12">
        <v>690</v>
      </c>
      <c r="C2380" s="12">
        <v>990</v>
      </c>
      <c r="D2380" s="12">
        <v>33199</v>
      </c>
      <c r="E2380" s="13" t="s">
        <v>37</v>
      </c>
      <c r="F2380" s="13" t="s">
        <v>38</v>
      </c>
      <c r="G2380" s="13" t="s">
        <v>39</v>
      </c>
      <c r="H2380" s="13" t="s">
        <v>40</v>
      </c>
      <c r="I2380" s="12">
        <v>2025</v>
      </c>
      <c r="J2380" s="13" t="s">
        <v>41</v>
      </c>
      <c r="K2380" s="12">
        <v>9785002235452</v>
      </c>
      <c r="L2380" s="13" t="s">
        <v>42</v>
      </c>
      <c r="M2380" s="12">
        <v>368</v>
      </c>
      <c r="N2380" s="14">
        <v>0.32</v>
      </c>
      <c r="O2380" s="12">
        <v>140</v>
      </c>
      <c r="P2380" s="12">
        <v>210</v>
      </c>
      <c r="Q2380" s="12">
        <v>10</v>
      </c>
      <c r="R2380" s="13" t="s">
        <v>43</v>
      </c>
      <c r="S2380" s="13"/>
      <c r="T2380" s="15">
        <v>1000</v>
      </c>
      <c r="U2380" s="13" t="s">
        <v>44</v>
      </c>
      <c r="V2380" s="13" t="s">
        <v>45</v>
      </c>
      <c r="W2380" s="12">
        <v>10</v>
      </c>
      <c r="X2380" s="33" t="str">
        <f>HYPERLINK("https://www.alpinabook.ru/catalog/book-laviniya","ссылка на книгу")</f>
        <v>ссылка на книгу</v>
      </c>
      <c r="Y2380" s="34" t="str">
        <f>HYPERLINK("https://api-enni.alpina.ru/FilePrivilegesApproval/197","https://api-enni.alpina.ru/FilePrivilegesApproval/197")</f>
        <v>https://api-enni.alpina.ru/FilePrivilegesApproval/197</v>
      </c>
      <c r="Z2380" s="13" t="s">
        <v>46</v>
      </c>
      <c r="AT2380" s="1">
        <f t="shared" ref="AT2380:AT2408" si="460">IF($A2380&lt;&gt;0,1,0)</f>
        <v>0</v>
      </c>
      <c r="AU2380" s="1">
        <f t="shared" ref="AU2380:AU2408" si="461">$A2380*$B2380</f>
        <v>0</v>
      </c>
      <c r="AV2380" s="1">
        <f t="shared" ref="AV2380:AV2408" si="462">$A2380*$N2380</f>
        <v>0</v>
      </c>
      <c r="AW2380" s="1">
        <f t="shared" ref="AW2380:AW2408" si="463">IF($Q2380=0,0,INT($A2380/$Q2380))</f>
        <v>0</v>
      </c>
      <c r="AX2380" s="1">
        <f t="shared" ref="AX2380:AX2408" si="464">$A2380-$AW2380*$Q2380</f>
        <v>0</v>
      </c>
    </row>
    <row r="2381" spans="1:50" s="1" customFormat="1" ht="24.95" customHeight="1" outlineLevel="3" x14ac:dyDescent="0.2">
      <c r="A2381" s="11"/>
      <c r="B2381" s="12">
        <v>640</v>
      </c>
      <c r="C2381" s="12">
        <v>940</v>
      </c>
      <c r="D2381" s="12">
        <v>31393</v>
      </c>
      <c r="E2381" s="13" t="s">
        <v>7756</v>
      </c>
      <c r="F2381" s="13" t="s">
        <v>7757</v>
      </c>
      <c r="G2381" s="13" t="s">
        <v>3511</v>
      </c>
      <c r="H2381" s="13" t="s">
        <v>236</v>
      </c>
      <c r="I2381" s="12">
        <v>2025</v>
      </c>
      <c r="J2381" s="13" t="s">
        <v>7758</v>
      </c>
      <c r="K2381" s="12">
        <v>9785002162161</v>
      </c>
      <c r="L2381" s="13" t="s">
        <v>7759</v>
      </c>
      <c r="M2381" s="12">
        <v>416</v>
      </c>
      <c r="N2381" s="14">
        <v>0.4</v>
      </c>
      <c r="O2381" s="12">
        <v>150</v>
      </c>
      <c r="P2381" s="12">
        <v>210</v>
      </c>
      <c r="Q2381" s="12">
        <v>8</v>
      </c>
      <c r="R2381" s="13" t="s">
        <v>43</v>
      </c>
      <c r="S2381" s="13" t="s">
        <v>7760</v>
      </c>
      <c r="T2381" s="15">
        <v>2000</v>
      </c>
      <c r="U2381" s="13" t="s">
        <v>44</v>
      </c>
      <c r="V2381" s="13" t="s">
        <v>89</v>
      </c>
      <c r="W2381" s="12">
        <v>10</v>
      </c>
      <c r="X2381" s="33" t="str">
        <f>HYPERLINK("https://www.alpinabook.ru/catalog/book-amerikanka","ссылка на книгу")</f>
        <v>ссылка на книгу</v>
      </c>
      <c r="Y2381" s="34" t="str">
        <f>HYPERLINK("https://api-enni.alpina.ru/FilePrivilegesApproval/814","https://api-enni.alpina.ru/FilePrivilegesApproval/814")</f>
        <v>https://api-enni.alpina.ru/FilePrivilegesApproval/814</v>
      </c>
      <c r="Z2381" s="13"/>
      <c r="AT2381" s="1">
        <f t="shared" si="460"/>
        <v>0</v>
      </c>
      <c r="AU2381" s="1">
        <f t="shared" si="461"/>
        <v>0</v>
      </c>
      <c r="AV2381" s="1">
        <f t="shared" si="462"/>
        <v>0</v>
      </c>
      <c r="AW2381" s="1">
        <f t="shared" si="463"/>
        <v>0</v>
      </c>
      <c r="AX2381" s="1">
        <f t="shared" si="464"/>
        <v>0</v>
      </c>
    </row>
    <row r="2382" spans="1:50" s="1" customFormat="1" ht="24.95" customHeight="1" outlineLevel="3" x14ac:dyDescent="0.2">
      <c r="A2382" s="11"/>
      <c r="B2382" s="12">
        <v>790</v>
      </c>
      <c r="C2382" s="15">
        <v>1190</v>
      </c>
      <c r="D2382" s="12">
        <v>26846</v>
      </c>
      <c r="E2382" s="13" t="s">
        <v>7761</v>
      </c>
      <c r="F2382" s="13" t="s">
        <v>7762</v>
      </c>
      <c r="G2382" s="13" t="s">
        <v>3511</v>
      </c>
      <c r="H2382" s="13" t="s">
        <v>40</v>
      </c>
      <c r="I2382" s="12">
        <v>2023</v>
      </c>
      <c r="J2382" s="13" t="s">
        <v>7763</v>
      </c>
      <c r="K2382" s="12">
        <v>9785907625082</v>
      </c>
      <c r="L2382" s="13" t="s">
        <v>7764</v>
      </c>
      <c r="M2382" s="12">
        <v>464</v>
      </c>
      <c r="N2382" s="14">
        <v>0.47</v>
      </c>
      <c r="O2382" s="12">
        <v>150</v>
      </c>
      <c r="P2382" s="12">
        <v>210</v>
      </c>
      <c r="Q2382" s="12">
        <v>6</v>
      </c>
      <c r="R2382" s="13" t="s">
        <v>43</v>
      </c>
      <c r="S2382" s="13" t="s">
        <v>7760</v>
      </c>
      <c r="T2382" s="15">
        <v>4017</v>
      </c>
      <c r="U2382" s="13" t="s">
        <v>44</v>
      </c>
      <c r="V2382" s="13" t="s">
        <v>45</v>
      </c>
      <c r="W2382" s="12">
        <v>10</v>
      </c>
      <c r="X2382" s="33" t="str">
        <f>HYPERLINK("https://www.alpinabook.ru/catalog/book-beda","ссылка на книгу")</f>
        <v>ссылка на книгу</v>
      </c>
      <c r="Y2382" s="34" t="str">
        <f>HYPERLINK("https://api-enni.alpina.ru/FilePrivilegesApproval/356","https://api-enni.alpina.ru/FilePrivilegesApproval/356")</f>
        <v>https://api-enni.alpina.ru/FilePrivilegesApproval/356</v>
      </c>
      <c r="Z2382" s="13"/>
      <c r="AT2382" s="1">
        <f t="shared" si="460"/>
        <v>0</v>
      </c>
      <c r="AU2382" s="1">
        <f t="shared" si="461"/>
        <v>0</v>
      </c>
      <c r="AV2382" s="1">
        <f t="shared" si="462"/>
        <v>0</v>
      </c>
      <c r="AW2382" s="1">
        <f t="shared" si="463"/>
        <v>0</v>
      </c>
      <c r="AX2382" s="1">
        <f t="shared" si="464"/>
        <v>0</v>
      </c>
    </row>
    <row r="2383" spans="1:50" s="1" customFormat="1" ht="24.95" customHeight="1" outlineLevel="3" x14ac:dyDescent="0.2">
      <c r="A2383" s="11"/>
      <c r="B2383" s="12">
        <v>440</v>
      </c>
      <c r="C2383" s="12">
        <v>690</v>
      </c>
      <c r="D2383" s="12">
        <v>30808</v>
      </c>
      <c r="E2383" s="13" t="s">
        <v>7765</v>
      </c>
      <c r="F2383" s="13" t="s">
        <v>7766</v>
      </c>
      <c r="G2383" s="13" t="s">
        <v>190</v>
      </c>
      <c r="H2383" s="13" t="s">
        <v>434</v>
      </c>
      <c r="I2383" s="12">
        <v>2025</v>
      </c>
      <c r="J2383" s="13" t="s">
        <v>7767</v>
      </c>
      <c r="K2383" s="12">
        <v>9785961496628</v>
      </c>
      <c r="L2383" s="13" t="s">
        <v>7768</v>
      </c>
      <c r="M2383" s="12">
        <v>248</v>
      </c>
      <c r="N2383" s="14">
        <v>0.21</v>
      </c>
      <c r="O2383" s="12">
        <v>140</v>
      </c>
      <c r="P2383" s="12">
        <v>200</v>
      </c>
      <c r="Q2383" s="12">
        <v>14</v>
      </c>
      <c r="R2383" s="13" t="s">
        <v>43</v>
      </c>
      <c r="S2383" s="13"/>
      <c r="T2383" s="15">
        <v>4000</v>
      </c>
      <c r="U2383" s="13" t="s">
        <v>44</v>
      </c>
      <c r="V2383" s="13" t="s">
        <v>89</v>
      </c>
      <c r="W2383" s="12">
        <v>10</v>
      </c>
      <c r="X2383" s="33" t="str">
        <f>HYPERLINK("https://www.alpinabook.ru/catalog/book-bey-begi-zamri","ссылка на книгу")</f>
        <v>ссылка на книгу</v>
      </c>
      <c r="Y2383" s="34" t="str">
        <f>HYPERLINK("https://api-enni.alpina.ru/FilePrivilegesApproval/754","https://api-enni.alpina.ru/FilePrivilegesApproval/754")</f>
        <v>https://api-enni.alpina.ru/FilePrivilegesApproval/754</v>
      </c>
      <c r="Z2383" s="13"/>
      <c r="AT2383" s="1">
        <f t="shared" si="460"/>
        <v>0</v>
      </c>
      <c r="AU2383" s="1">
        <f t="shared" si="461"/>
        <v>0</v>
      </c>
      <c r="AV2383" s="1">
        <f t="shared" si="462"/>
        <v>0</v>
      </c>
      <c r="AW2383" s="1">
        <f t="shared" si="463"/>
        <v>0</v>
      </c>
      <c r="AX2383" s="1">
        <f t="shared" si="464"/>
        <v>0</v>
      </c>
    </row>
    <row r="2384" spans="1:50" s="1" customFormat="1" ht="21.95" customHeight="1" outlineLevel="3" x14ac:dyDescent="0.2">
      <c r="A2384" s="11"/>
      <c r="B2384" s="12">
        <v>740</v>
      </c>
      <c r="C2384" s="15">
        <v>1090</v>
      </c>
      <c r="D2384" s="12">
        <v>33030</v>
      </c>
      <c r="E2384" s="13" t="s">
        <v>47</v>
      </c>
      <c r="F2384" s="13" t="s">
        <v>48</v>
      </c>
      <c r="G2384" s="13" t="s">
        <v>49</v>
      </c>
      <c r="H2384" s="13"/>
      <c r="I2384" s="12">
        <v>2025</v>
      </c>
      <c r="J2384" s="13" t="s">
        <v>50</v>
      </c>
      <c r="K2384" s="12">
        <v>9786018223006</v>
      </c>
      <c r="L2384" s="13" t="s">
        <v>51</v>
      </c>
      <c r="M2384" s="12">
        <v>192</v>
      </c>
      <c r="N2384" s="14">
        <v>0.33</v>
      </c>
      <c r="O2384" s="12">
        <v>150</v>
      </c>
      <c r="P2384" s="12">
        <v>220</v>
      </c>
      <c r="Q2384" s="12">
        <v>8</v>
      </c>
      <c r="R2384" s="13" t="s">
        <v>43</v>
      </c>
      <c r="S2384" s="13"/>
      <c r="T2384" s="15">
        <v>1000</v>
      </c>
      <c r="U2384" s="13" t="s">
        <v>52</v>
      </c>
      <c r="V2384" s="13" t="s">
        <v>45</v>
      </c>
      <c r="W2384" s="12">
        <v>20</v>
      </c>
      <c r="X2384" s="33" t="str">
        <f>HYPERLINK("https://www.alpinabook.ru/catalog/book-belasagun","ссылка на книгу")</f>
        <v>ссылка на книгу</v>
      </c>
      <c r="Y2384" s="34" t="str">
        <f>HYPERLINK("","")</f>
        <v/>
      </c>
      <c r="Z2384" s="13" t="s">
        <v>53</v>
      </c>
      <c r="AT2384" s="1">
        <f t="shared" si="460"/>
        <v>0</v>
      </c>
      <c r="AU2384" s="1">
        <f t="shared" si="461"/>
        <v>0</v>
      </c>
      <c r="AV2384" s="1">
        <f t="shared" si="462"/>
        <v>0</v>
      </c>
      <c r="AW2384" s="1">
        <f t="shared" si="463"/>
        <v>0</v>
      </c>
      <c r="AX2384" s="1">
        <f t="shared" si="464"/>
        <v>0</v>
      </c>
    </row>
    <row r="2385" spans="1:50" s="1" customFormat="1" ht="11.1" customHeight="1" outlineLevel="3" x14ac:dyDescent="0.2">
      <c r="A2385" s="11"/>
      <c r="B2385" s="12">
        <v>540</v>
      </c>
      <c r="C2385" s="12">
        <v>790</v>
      </c>
      <c r="D2385" s="12">
        <v>31398</v>
      </c>
      <c r="E2385" s="13" t="s">
        <v>7769</v>
      </c>
      <c r="F2385" s="13" t="s">
        <v>7770</v>
      </c>
      <c r="G2385" s="13" t="s">
        <v>3511</v>
      </c>
      <c r="H2385" s="13" t="s">
        <v>40</v>
      </c>
      <c r="I2385" s="12">
        <v>2025</v>
      </c>
      <c r="J2385" s="13" t="s">
        <v>7771</v>
      </c>
      <c r="K2385" s="12">
        <v>9785002162437</v>
      </c>
      <c r="L2385" s="13" t="s">
        <v>7772</v>
      </c>
      <c r="M2385" s="12">
        <v>304</v>
      </c>
      <c r="N2385" s="14">
        <v>0.33</v>
      </c>
      <c r="O2385" s="12">
        <v>150</v>
      </c>
      <c r="P2385" s="12">
        <v>210</v>
      </c>
      <c r="Q2385" s="12">
        <v>10</v>
      </c>
      <c r="R2385" s="13" t="s">
        <v>43</v>
      </c>
      <c r="S2385" s="13" t="s">
        <v>7773</v>
      </c>
      <c r="T2385" s="15">
        <v>3000</v>
      </c>
      <c r="U2385" s="13" t="s">
        <v>44</v>
      </c>
      <c r="V2385" s="13" t="s">
        <v>89</v>
      </c>
      <c r="W2385" s="12">
        <v>20</v>
      </c>
      <c r="X2385" s="33" t="str">
        <f>HYPERLINK("https://www.alpinabook.ru/catalog/book-vdali","ссылка на книгу")</f>
        <v>ссылка на книгу</v>
      </c>
      <c r="Y2385" s="34" t="str">
        <f>HYPERLINK("","")</f>
        <v/>
      </c>
      <c r="Z2385" s="13"/>
      <c r="AT2385" s="1">
        <f t="shared" si="460"/>
        <v>0</v>
      </c>
      <c r="AU2385" s="1">
        <f t="shared" si="461"/>
        <v>0</v>
      </c>
      <c r="AV2385" s="1">
        <f t="shared" si="462"/>
        <v>0</v>
      </c>
      <c r="AW2385" s="1">
        <f t="shared" si="463"/>
        <v>0</v>
      </c>
      <c r="AX2385" s="1">
        <f t="shared" si="464"/>
        <v>0</v>
      </c>
    </row>
    <row r="2386" spans="1:50" s="1" customFormat="1" ht="24.95" customHeight="1" outlineLevel="3" x14ac:dyDescent="0.2">
      <c r="A2386" s="11"/>
      <c r="B2386" s="12">
        <v>440</v>
      </c>
      <c r="C2386" s="12">
        <v>690</v>
      </c>
      <c r="D2386" s="12">
        <v>30507</v>
      </c>
      <c r="E2386" s="13" t="s">
        <v>7774</v>
      </c>
      <c r="F2386" s="13" t="s">
        <v>7775</v>
      </c>
      <c r="G2386" s="13" t="s">
        <v>190</v>
      </c>
      <c r="H2386" s="13" t="s">
        <v>434</v>
      </c>
      <c r="I2386" s="12">
        <v>2025</v>
      </c>
      <c r="J2386" s="13" t="s">
        <v>7776</v>
      </c>
      <c r="K2386" s="12">
        <v>9785961495676</v>
      </c>
      <c r="L2386" s="13" t="s">
        <v>7777</v>
      </c>
      <c r="M2386" s="12">
        <v>218</v>
      </c>
      <c r="N2386" s="14">
        <v>0.2</v>
      </c>
      <c r="O2386" s="12">
        <v>140</v>
      </c>
      <c r="P2386" s="12">
        <v>200</v>
      </c>
      <c r="Q2386" s="12">
        <v>16</v>
      </c>
      <c r="R2386" s="13" t="s">
        <v>43</v>
      </c>
      <c r="S2386" s="13"/>
      <c r="T2386" s="15">
        <v>3000</v>
      </c>
      <c r="U2386" s="13" t="s">
        <v>44</v>
      </c>
      <c r="V2386" s="13" t="s">
        <v>89</v>
      </c>
      <c r="W2386" s="12">
        <v>10</v>
      </c>
      <c r="X2386" s="33" t="str">
        <f>HYPERLINK("https://www.alpinabook.ru/catalog/book-vysokaya-kukhnya","ссылка на книгу")</f>
        <v>ссылка на книгу</v>
      </c>
      <c r="Y2386" s="34" t="str">
        <f>HYPERLINK("https://api-enni.alpina.ru/FilePrivilegesApproval/779","https://api-enni.alpina.ru/FilePrivilegesApproval/779")</f>
        <v>https://api-enni.alpina.ru/FilePrivilegesApproval/779</v>
      </c>
      <c r="Z2386" s="13" t="s">
        <v>954</v>
      </c>
      <c r="AT2386" s="1">
        <f t="shared" si="460"/>
        <v>0</v>
      </c>
      <c r="AU2386" s="1">
        <f t="shared" si="461"/>
        <v>0</v>
      </c>
      <c r="AV2386" s="1">
        <f t="shared" si="462"/>
        <v>0</v>
      </c>
      <c r="AW2386" s="1">
        <f t="shared" si="463"/>
        <v>0</v>
      </c>
      <c r="AX2386" s="1">
        <f t="shared" si="464"/>
        <v>0</v>
      </c>
    </row>
    <row r="2387" spans="1:50" s="1" customFormat="1" ht="21.95" customHeight="1" outlineLevel="3" x14ac:dyDescent="0.2">
      <c r="A2387" s="11"/>
      <c r="B2387" s="12">
        <v>640</v>
      </c>
      <c r="C2387" s="12">
        <v>940</v>
      </c>
      <c r="D2387" s="12">
        <v>30078</v>
      </c>
      <c r="E2387" s="13" t="s">
        <v>7778</v>
      </c>
      <c r="F2387" s="13" t="s">
        <v>7779</v>
      </c>
      <c r="G2387" s="13" t="s">
        <v>3511</v>
      </c>
      <c r="H2387" s="13" t="s">
        <v>40</v>
      </c>
      <c r="I2387" s="12">
        <v>2024</v>
      </c>
      <c r="J2387" s="13" t="s">
        <v>7780</v>
      </c>
      <c r="K2387" s="12">
        <v>9785002160327</v>
      </c>
      <c r="L2387" s="13" t="s">
        <v>7781</v>
      </c>
      <c r="M2387" s="12">
        <v>416</v>
      </c>
      <c r="N2387" s="14">
        <v>0.44</v>
      </c>
      <c r="O2387" s="12">
        <v>150</v>
      </c>
      <c r="P2387" s="12">
        <v>220</v>
      </c>
      <c r="Q2387" s="12">
        <v>8</v>
      </c>
      <c r="R2387" s="13" t="s">
        <v>43</v>
      </c>
      <c r="S2387" s="13" t="s">
        <v>7773</v>
      </c>
      <c r="T2387" s="15">
        <v>2017</v>
      </c>
      <c r="U2387" s="13" t="s">
        <v>44</v>
      </c>
      <c r="V2387" s="13" t="s">
        <v>45</v>
      </c>
      <c r="W2387" s="12">
        <v>10</v>
      </c>
      <c r="X2387" s="33" t="str">
        <f>HYPERLINK("https://www.alpinabook.ru/catalog/book-vysokhshee-serdtse","ссылка на книгу")</f>
        <v>ссылка на книгу</v>
      </c>
      <c r="Y2387" s="34" t="str">
        <f>HYPERLINK("","")</f>
        <v/>
      </c>
      <c r="Z2387" s="13"/>
      <c r="AT2387" s="1">
        <f t="shared" si="460"/>
        <v>0</v>
      </c>
      <c r="AU2387" s="1">
        <f t="shared" si="461"/>
        <v>0</v>
      </c>
      <c r="AV2387" s="1">
        <f t="shared" si="462"/>
        <v>0</v>
      </c>
      <c r="AW2387" s="1">
        <f t="shared" si="463"/>
        <v>0</v>
      </c>
      <c r="AX2387" s="1">
        <f t="shared" si="464"/>
        <v>0</v>
      </c>
    </row>
    <row r="2388" spans="1:50" s="1" customFormat="1" ht="24.95" customHeight="1" outlineLevel="3" x14ac:dyDescent="0.2">
      <c r="A2388" s="11"/>
      <c r="B2388" s="12">
        <v>330</v>
      </c>
      <c r="C2388" s="12">
        <v>440</v>
      </c>
      <c r="D2388" s="12">
        <v>7821</v>
      </c>
      <c r="E2388" s="13" t="s">
        <v>291</v>
      </c>
      <c r="F2388" s="13" t="s">
        <v>7782</v>
      </c>
      <c r="G2388" s="13" t="s">
        <v>39</v>
      </c>
      <c r="H2388" s="13" t="s">
        <v>40</v>
      </c>
      <c r="I2388" s="12">
        <v>2024</v>
      </c>
      <c r="J2388" s="13" t="s">
        <v>7783</v>
      </c>
      <c r="K2388" s="12">
        <v>9785961469745</v>
      </c>
      <c r="L2388" s="13" t="s">
        <v>7784</v>
      </c>
      <c r="M2388" s="12">
        <v>112</v>
      </c>
      <c r="N2388" s="14">
        <v>0.19</v>
      </c>
      <c r="O2388" s="12">
        <v>130</v>
      </c>
      <c r="P2388" s="12">
        <v>206</v>
      </c>
      <c r="Q2388" s="12">
        <v>30</v>
      </c>
      <c r="R2388" s="13" t="s">
        <v>82</v>
      </c>
      <c r="S2388" s="13" t="s">
        <v>7159</v>
      </c>
      <c r="T2388" s="15">
        <v>4000</v>
      </c>
      <c r="U2388" s="13" t="s">
        <v>52</v>
      </c>
      <c r="V2388" s="13" t="s">
        <v>64</v>
      </c>
      <c r="W2388" s="12">
        <v>10</v>
      </c>
      <c r="X2388" s="33" t="str">
        <f>HYPERLINK("https://www.alpinabook.ru/catalog/book-hymn","ссылка на книгу")</f>
        <v>ссылка на книгу</v>
      </c>
      <c r="Y2388" s="34" t="str">
        <f>HYPERLINK("https://api-enni.alpina.ru/FilePrivilegesApproval/156","https://api-enni.alpina.ru/FilePrivilegesApproval/156")</f>
        <v>https://api-enni.alpina.ru/FilePrivilegesApproval/156</v>
      </c>
      <c r="Z2388" s="13"/>
      <c r="AT2388" s="1">
        <f t="shared" si="460"/>
        <v>0</v>
      </c>
      <c r="AU2388" s="1">
        <f t="shared" si="461"/>
        <v>0</v>
      </c>
      <c r="AV2388" s="1">
        <f t="shared" si="462"/>
        <v>0</v>
      </c>
      <c r="AW2388" s="1">
        <f t="shared" si="463"/>
        <v>0</v>
      </c>
      <c r="AX2388" s="1">
        <f t="shared" si="464"/>
        <v>0</v>
      </c>
    </row>
    <row r="2389" spans="1:50" s="1" customFormat="1" ht="24.95" customHeight="1" outlineLevel="3" x14ac:dyDescent="0.2">
      <c r="A2389" s="11"/>
      <c r="B2389" s="15">
        <v>1220</v>
      </c>
      <c r="C2389" s="15">
        <v>1690</v>
      </c>
      <c r="D2389" s="12">
        <v>31636</v>
      </c>
      <c r="E2389" s="13" t="s">
        <v>7785</v>
      </c>
      <c r="F2389" s="13" t="s">
        <v>7786</v>
      </c>
      <c r="G2389" s="13" t="s">
        <v>39</v>
      </c>
      <c r="H2389" s="13" t="s">
        <v>164</v>
      </c>
      <c r="I2389" s="12">
        <v>2025</v>
      </c>
      <c r="J2389" s="13" t="s">
        <v>7787</v>
      </c>
      <c r="K2389" s="12">
        <v>9785002234028</v>
      </c>
      <c r="L2389" s="13" t="s">
        <v>7788</v>
      </c>
      <c r="M2389" s="12">
        <v>80</v>
      </c>
      <c r="N2389" s="14">
        <v>0.28999999999999998</v>
      </c>
      <c r="O2389" s="12">
        <v>170</v>
      </c>
      <c r="P2389" s="12">
        <v>220</v>
      </c>
      <c r="Q2389" s="12">
        <v>12</v>
      </c>
      <c r="R2389" s="13" t="s">
        <v>100</v>
      </c>
      <c r="S2389" s="13"/>
      <c r="T2389" s="15">
        <v>2000</v>
      </c>
      <c r="U2389" s="13" t="s">
        <v>52</v>
      </c>
      <c r="V2389" s="13" t="s">
        <v>59</v>
      </c>
      <c r="W2389" s="12">
        <v>10</v>
      </c>
      <c r="X2389" s="33" t="str">
        <f>HYPERLINK("https://www.alpinabook.ru/catalog/book-glupyy-avgust","ссылка на книгу")</f>
        <v>ссылка на книгу</v>
      </c>
      <c r="Y2389" s="34" t="str">
        <f>HYPERLINK("https://api-enni.alpina.ru/FilePrivilegesApproval/788","https://api-enni.alpina.ru/FilePrivilegesApproval/788")</f>
        <v>https://api-enni.alpina.ru/FilePrivilegesApproval/788</v>
      </c>
      <c r="Z2389" s="13" t="s">
        <v>295</v>
      </c>
      <c r="AT2389" s="1">
        <f t="shared" si="460"/>
        <v>0</v>
      </c>
      <c r="AU2389" s="1">
        <f t="shared" si="461"/>
        <v>0</v>
      </c>
      <c r="AV2389" s="1">
        <f t="shared" si="462"/>
        <v>0</v>
      </c>
      <c r="AW2389" s="1">
        <f t="shared" si="463"/>
        <v>0</v>
      </c>
      <c r="AX2389" s="1">
        <f t="shared" si="464"/>
        <v>0</v>
      </c>
    </row>
    <row r="2390" spans="1:50" s="1" customFormat="1" ht="24.95" customHeight="1" outlineLevel="3" x14ac:dyDescent="0.2">
      <c r="A2390" s="11"/>
      <c r="B2390" s="12">
        <v>640</v>
      </c>
      <c r="C2390" s="12">
        <v>940</v>
      </c>
      <c r="D2390" s="12">
        <v>28719</v>
      </c>
      <c r="E2390" s="13" t="s">
        <v>7769</v>
      </c>
      <c r="F2390" s="13" t="s">
        <v>7789</v>
      </c>
      <c r="G2390" s="13" t="s">
        <v>3511</v>
      </c>
      <c r="H2390" s="13" t="s">
        <v>40</v>
      </c>
      <c r="I2390" s="12">
        <v>2024</v>
      </c>
      <c r="J2390" s="13" t="s">
        <v>7790</v>
      </c>
      <c r="K2390" s="12">
        <v>9785002160099</v>
      </c>
      <c r="L2390" s="13" t="s">
        <v>7791</v>
      </c>
      <c r="M2390" s="12">
        <v>544</v>
      </c>
      <c r="N2390" s="14">
        <v>0.56999999999999995</v>
      </c>
      <c r="O2390" s="12">
        <v>150</v>
      </c>
      <c r="P2390" s="12">
        <v>210</v>
      </c>
      <c r="Q2390" s="12">
        <v>6</v>
      </c>
      <c r="R2390" s="13" t="s">
        <v>43</v>
      </c>
      <c r="S2390" s="13" t="s">
        <v>7773</v>
      </c>
      <c r="T2390" s="15">
        <v>4000</v>
      </c>
      <c r="U2390" s="13" t="s">
        <v>44</v>
      </c>
      <c r="V2390" s="13" t="s">
        <v>45</v>
      </c>
      <c r="W2390" s="12">
        <v>10</v>
      </c>
      <c r="X2390" s="33" t="str">
        <f>HYPERLINK("https://www.alpinabook.ru/catalog/book-doverie","ссылка на книгу")</f>
        <v>ссылка на книгу</v>
      </c>
      <c r="Y2390" s="34" t="str">
        <f>HYPERLINK("https://api-enni.alpina.ru/FilePrivilegesApproval/334","https://api-enni.alpina.ru/FilePrivilegesApproval/334")</f>
        <v>https://api-enni.alpina.ru/FilePrivilegesApproval/334</v>
      </c>
      <c r="Z2390" s="13"/>
      <c r="AT2390" s="1">
        <f t="shared" si="460"/>
        <v>0</v>
      </c>
      <c r="AU2390" s="1">
        <f t="shared" si="461"/>
        <v>0</v>
      </c>
      <c r="AV2390" s="1">
        <f t="shared" si="462"/>
        <v>0</v>
      </c>
      <c r="AW2390" s="1">
        <f t="shared" si="463"/>
        <v>0</v>
      </c>
      <c r="AX2390" s="1">
        <f t="shared" si="464"/>
        <v>0</v>
      </c>
    </row>
    <row r="2391" spans="1:50" s="1" customFormat="1" ht="11.1" customHeight="1" outlineLevel="3" x14ac:dyDescent="0.2">
      <c r="A2391" s="11"/>
      <c r="B2391" s="12">
        <v>640</v>
      </c>
      <c r="C2391" s="12">
        <v>940</v>
      </c>
      <c r="D2391" s="12">
        <v>30987</v>
      </c>
      <c r="E2391" s="13" t="s">
        <v>7792</v>
      </c>
      <c r="F2391" s="13" t="s">
        <v>7793</v>
      </c>
      <c r="G2391" s="13" t="s">
        <v>3511</v>
      </c>
      <c r="H2391" s="13" t="s">
        <v>7794</v>
      </c>
      <c r="I2391" s="12">
        <v>2024</v>
      </c>
      <c r="J2391" s="13" t="s">
        <v>7795</v>
      </c>
      <c r="K2391" s="12">
        <v>9785002161720</v>
      </c>
      <c r="L2391" s="13" t="s">
        <v>7796</v>
      </c>
      <c r="M2391" s="12">
        <v>384</v>
      </c>
      <c r="N2391" s="14">
        <v>0.46</v>
      </c>
      <c r="O2391" s="12">
        <v>140</v>
      </c>
      <c r="P2391" s="12">
        <v>210</v>
      </c>
      <c r="Q2391" s="12">
        <v>5</v>
      </c>
      <c r="R2391" s="13" t="s">
        <v>43</v>
      </c>
      <c r="S2391" s="13" t="s">
        <v>7773</v>
      </c>
      <c r="T2391" s="15">
        <v>2017</v>
      </c>
      <c r="U2391" s="13" t="s">
        <v>44</v>
      </c>
      <c r="V2391" s="13" t="s">
        <v>89</v>
      </c>
      <c r="W2391" s="12">
        <v>20</v>
      </c>
      <c r="X2391" s="33" t="str">
        <f>HYPERLINK("https://www.alpinabook.ru/catalog/book-ee-gorod","ссылка на книгу")</f>
        <v>ссылка на книгу</v>
      </c>
      <c r="Y2391" s="34" t="str">
        <f>HYPERLINK("","")</f>
        <v/>
      </c>
      <c r="Z2391" s="13"/>
      <c r="AT2391" s="1">
        <f t="shared" si="460"/>
        <v>0</v>
      </c>
      <c r="AU2391" s="1">
        <f t="shared" si="461"/>
        <v>0</v>
      </c>
      <c r="AV2391" s="1">
        <f t="shared" si="462"/>
        <v>0</v>
      </c>
      <c r="AW2391" s="1">
        <f t="shared" si="463"/>
        <v>0</v>
      </c>
      <c r="AX2391" s="1">
        <f t="shared" si="464"/>
        <v>0</v>
      </c>
    </row>
    <row r="2392" spans="1:50" s="1" customFormat="1" ht="24.95" customHeight="1" outlineLevel="3" x14ac:dyDescent="0.2">
      <c r="A2392" s="11"/>
      <c r="B2392" s="12">
        <v>740</v>
      </c>
      <c r="C2392" s="15">
        <v>1190</v>
      </c>
      <c r="D2392" s="12">
        <v>28158</v>
      </c>
      <c r="E2392" s="13" t="s">
        <v>7785</v>
      </c>
      <c r="F2392" s="13" t="s">
        <v>7797</v>
      </c>
      <c r="G2392" s="13" t="s">
        <v>39</v>
      </c>
      <c r="H2392" s="13" t="s">
        <v>164</v>
      </c>
      <c r="I2392" s="12">
        <v>2024</v>
      </c>
      <c r="J2392" s="13" t="s">
        <v>7798</v>
      </c>
      <c r="K2392" s="12">
        <v>9785002230723</v>
      </c>
      <c r="L2392" s="13" t="s">
        <v>7799</v>
      </c>
      <c r="M2392" s="12">
        <v>768</v>
      </c>
      <c r="N2392" s="14">
        <v>0.71</v>
      </c>
      <c r="O2392" s="12">
        <v>140</v>
      </c>
      <c r="P2392" s="12">
        <v>210</v>
      </c>
      <c r="Q2392" s="12">
        <v>3</v>
      </c>
      <c r="R2392" s="13" t="s">
        <v>43</v>
      </c>
      <c r="S2392" s="13" t="s">
        <v>7800</v>
      </c>
      <c r="T2392" s="15">
        <v>5000</v>
      </c>
      <c r="U2392" s="13" t="s">
        <v>44</v>
      </c>
      <c r="V2392" s="13" t="s">
        <v>89</v>
      </c>
      <c r="W2392" s="12">
        <v>10</v>
      </c>
      <c r="X2392" s="33" t="str">
        <f>HYPERLINK("https://www.alpinabook.ru/catalog/book-zhestyanoy-baraban","ссылка на книгу")</f>
        <v>ссылка на книгу</v>
      </c>
      <c r="Y2392" s="34" t="str">
        <f>HYPERLINK("https://api-enni.alpina.ru/FilePrivilegesApproval/367","https://api-enni.alpina.ru/FilePrivilegesApproval/367")</f>
        <v>https://api-enni.alpina.ru/FilePrivilegesApproval/367</v>
      </c>
      <c r="Z2392" s="13"/>
      <c r="AT2392" s="1">
        <f t="shared" si="460"/>
        <v>0</v>
      </c>
      <c r="AU2392" s="1">
        <f t="shared" si="461"/>
        <v>0</v>
      </c>
      <c r="AV2392" s="1">
        <f t="shared" si="462"/>
        <v>0</v>
      </c>
      <c r="AW2392" s="1">
        <f t="shared" si="463"/>
        <v>0</v>
      </c>
      <c r="AX2392" s="1">
        <f t="shared" si="464"/>
        <v>0</v>
      </c>
    </row>
    <row r="2393" spans="1:50" s="1" customFormat="1" ht="24.95" customHeight="1" outlineLevel="3" x14ac:dyDescent="0.2">
      <c r="A2393" s="11"/>
      <c r="B2393" s="12">
        <v>520</v>
      </c>
      <c r="C2393" s="12">
        <v>790</v>
      </c>
      <c r="D2393" s="12">
        <v>30994</v>
      </c>
      <c r="E2393" s="13" t="s">
        <v>7785</v>
      </c>
      <c r="F2393" s="13" t="s">
        <v>7801</v>
      </c>
      <c r="G2393" s="13" t="s">
        <v>39</v>
      </c>
      <c r="H2393" s="13" t="s">
        <v>164</v>
      </c>
      <c r="I2393" s="12">
        <v>2025</v>
      </c>
      <c r="J2393" s="13" t="s">
        <v>7802</v>
      </c>
      <c r="K2393" s="12">
        <v>9785002233182</v>
      </c>
      <c r="L2393" s="13" t="s">
        <v>7803</v>
      </c>
      <c r="M2393" s="12">
        <v>96</v>
      </c>
      <c r="N2393" s="14">
        <v>0.16</v>
      </c>
      <c r="O2393" s="12">
        <v>130</v>
      </c>
      <c r="P2393" s="12">
        <v>210</v>
      </c>
      <c r="Q2393" s="12">
        <v>28</v>
      </c>
      <c r="R2393" s="13" t="s">
        <v>82</v>
      </c>
      <c r="S2393" s="13"/>
      <c r="T2393" s="15">
        <v>3000</v>
      </c>
      <c r="U2393" s="13" t="s">
        <v>52</v>
      </c>
      <c r="V2393" s="13" t="s">
        <v>45</v>
      </c>
      <c r="W2393" s="12">
        <v>10</v>
      </c>
      <c r="X2393" s="33" t="str">
        <f>HYPERLINK("https://www.alpinabook.ru/catalog/book-kamennaya-messa","ссылка на книгу")</f>
        <v>ссылка на книгу</v>
      </c>
      <c r="Y2393" s="34" t="str">
        <f>HYPERLINK("https://api-enni.alpina.ru/FilePrivilegesApproval/776","https://api-enni.alpina.ru/FilePrivilegesApproval/776")</f>
        <v>https://api-enni.alpina.ru/FilePrivilegesApproval/776</v>
      </c>
      <c r="Z2393" s="13"/>
      <c r="AT2393" s="1">
        <f t="shared" si="460"/>
        <v>0</v>
      </c>
      <c r="AU2393" s="1">
        <f t="shared" si="461"/>
        <v>0</v>
      </c>
      <c r="AV2393" s="1">
        <f t="shared" si="462"/>
        <v>0</v>
      </c>
      <c r="AW2393" s="1">
        <f t="shared" si="463"/>
        <v>0</v>
      </c>
      <c r="AX2393" s="1">
        <f t="shared" si="464"/>
        <v>0</v>
      </c>
    </row>
    <row r="2394" spans="1:50" s="1" customFormat="1" ht="24.95" customHeight="1" outlineLevel="3" x14ac:dyDescent="0.2">
      <c r="A2394" s="26"/>
      <c r="B2394" s="27">
        <v>490</v>
      </c>
      <c r="C2394" s="27">
        <v>740</v>
      </c>
      <c r="D2394" s="27">
        <v>28165</v>
      </c>
      <c r="E2394" s="29" t="s">
        <v>7785</v>
      </c>
      <c r="F2394" s="29" t="s">
        <v>7804</v>
      </c>
      <c r="G2394" s="29" t="s">
        <v>39</v>
      </c>
      <c r="H2394" s="29" t="s">
        <v>164</v>
      </c>
      <c r="I2394" s="27">
        <v>2024</v>
      </c>
      <c r="J2394" s="29" t="s">
        <v>7805</v>
      </c>
      <c r="K2394" s="27">
        <v>9785002230747</v>
      </c>
      <c r="L2394" s="29" t="s">
        <v>7806</v>
      </c>
      <c r="M2394" s="27">
        <v>160</v>
      </c>
      <c r="N2394" s="30">
        <v>0.18</v>
      </c>
      <c r="O2394" s="27">
        <v>150</v>
      </c>
      <c r="P2394" s="27">
        <v>210</v>
      </c>
      <c r="Q2394" s="27">
        <v>10</v>
      </c>
      <c r="R2394" s="29" t="s">
        <v>43</v>
      </c>
      <c r="S2394" s="29" t="s">
        <v>7800</v>
      </c>
      <c r="T2394" s="28">
        <v>3000</v>
      </c>
      <c r="U2394" s="29" t="s">
        <v>44</v>
      </c>
      <c r="V2394" s="29" t="s">
        <v>89</v>
      </c>
      <c r="W2394" s="27">
        <v>10</v>
      </c>
      <c r="X2394" s="37" t="str">
        <f>HYPERLINK("https://www.alpinabook.ru/catalog/book-koshki-myshki","ссылка на книгу")</f>
        <v>ссылка на книгу</v>
      </c>
      <c r="Y2394" s="38" t="str">
        <f>HYPERLINK("https://api-enni.alpina.ru/FilePrivilegesApproval/408","https://api-enni.alpina.ru/FilePrivilegesApproval/408")</f>
        <v>https://api-enni.alpina.ru/FilePrivilegesApproval/408</v>
      </c>
      <c r="Z2394" s="29"/>
      <c r="AT2394" s="1">
        <f t="shared" si="460"/>
        <v>0</v>
      </c>
      <c r="AU2394" s="1">
        <f t="shared" si="461"/>
        <v>0</v>
      </c>
      <c r="AV2394" s="1">
        <f t="shared" si="462"/>
        <v>0</v>
      </c>
      <c r="AW2394" s="1">
        <f t="shared" si="463"/>
        <v>0</v>
      </c>
      <c r="AX2394" s="1">
        <f t="shared" si="464"/>
        <v>0</v>
      </c>
    </row>
    <row r="2395" spans="1:50" s="1" customFormat="1" ht="24.95" customHeight="1" outlineLevel="3" x14ac:dyDescent="0.2">
      <c r="A2395" s="11"/>
      <c r="B2395" s="12">
        <v>740</v>
      </c>
      <c r="C2395" s="15">
        <v>1090</v>
      </c>
      <c r="D2395" s="12">
        <v>2312</v>
      </c>
      <c r="E2395" s="13" t="s">
        <v>291</v>
      </c>
      <c r="F2395" s="13" t="s">
        <v>7807</v>
      </c>
      <c r="G2395" s="13" t="s">
        <v>56</v>
      </c>
      <c r="H2395" s="13" t="s">
        <v>40</v>
      </c>
      <c r="I2395" s="12">
        <v>2025</v>
      </c>
      <c r="J2395" s="13" t="s">
        <v>7808</v>
      </c>
      <c r="K2395" s="12">
        <v>9785961467468</v>
      </c>
      <c r="L2395" s="13" t="s">
        <v>7809</v>
      </c>
      <c r="M2395" s="12">
        <v>480</v>
      </c>
      <c r="N2395" s="14">
        <v>0.56999999999999995</v>
      </c>
      <c r="O2395" s="12">
        <v>150</v>
      </c>
      <c r="P2395" s="12">
        <v>220</v>
      </c>
      <c r="Q2395" s="12">
        <v>10</v>
      </c>
      <c r="R2395" s="13" t="s">
        <v>43</v>
      </c>
      <c r="S2395" s="13"/>
      <c r="T2395" s="15">
        <v>3000</v>
      </c>
      <c r="U2395" s="13" t="s">
        <v>52</v>
      </c>
      <c r="V2395" s="13" t="s">
        <v>64</v>
      </c>
      <c r="W2395" s="12">
        <v>10</v>
      </c>
      <c r="X2395" s="33" t="str">
        <f>HYPERLINK("https://www.alpinabook.ru/catalog/book-my-zhivye","ссылка на книгу")</f>
        <v>ссылка на книгу</v>
      </c>
      <c r="Y2395" s="34" t="str">
        <f>HYPERLINK("https://api-enni.alpina.ru/FilePrivilegesApproval/141","https://api-enni.alpina.ru/FilePrivilegesApproval/141")</f>
        <v>https://api-enni.alpina.ru/FilePrivilegesApproval/141</v>
      </c>
      <c r="Z2395" s="13" t="s">
        <v>77</v>
      </c>
      <c r="AT2395" s="1">
        <f t="shared" si="460"/>
        <v>0</v>
      </c>
      <c r="AU2395" s="1">
        <f t="shared" si="461"/>
        <v>0</v>
      </c>
      <c r="AV2395" s="1">
        <f t="shared" si="462"/>
        <v>0</v>
      </c>
      <c r="AW2395" s="1">
        <f t="shared" si="463"/>
        <v>0</v>
      </c>
      <c r="AX2395" s="1">
        <f t="shared" si="464"/>
        <v>0</v>
      </c>
    </row>
    <row r="2396" spans="1:50" s="1" customFormat="1" ht="24.95" customHeight="1" outlineLevel="3" x14ac:dyDescent="0.2">
      <c r="A2396" s="11"/>
      <c r="B2396" s="12">
        <v>590</v>
      </c>
      <c r="C2396" s="12">
        <v>840</v>
      </c>
      <c r="D2396" s="12">
        <v>28969</v>
      </c>
      <c r="E2396" s="13" t="s">
        <v>7810</v>
      </c>
      <c r="F2396" s="13" t="s">
        <v>7811</v>
      </c>
      <c r="G2396" s="13" t="s">
        <v>39</v>
      </c>
      <c r="H2396" s="13" t="s">
        <v>236</v>
      </c>
      <c r="I2396" s="12">
        <v>2025</v>
      </c>
      <c r="J2396" s="13" t="s">
        <v>7812</v>
      </c>
      <c r="K2396" s="12">
        <v>9785002230884</v>
      </c>
      <c r="L2396" s="13" t="s">
        <v>7813</v>
      </c>
      <c r="M2396" s="12">
        <v>192</v>
      </c>
      <c r="N2396" s="14">
        <v>0.25</v>
      </c>
      <c r="O2396" s="12">
        <v>150</v>
      </c>
      <c r="P2396" s="12">
        <v>200</v>
      </c>
      <c r="Q2396" s="12">
        <v>16</v>
      </c>
      <c r="R2396" s="13" t="s">
        <v>43</v>
      </c>
      <c r="S2396" s="13"/>
      <c r="T2396" s="15">
        <v>2000</v>
      </c>
      <c r="U2396" s="13" t="s">
        <v>52</v>
      </c>
      <c r="V2396" s="13" t="s">
        <v>89</v>
      </c>
      <c r="W2396" s="12">
        <v>20</v>
      </c>
      <c r="X2396" s="33" t="str">
        <f>HYPERLINK("https://www.alpinabook.ru/catalog/book-myatezhnyy-angel","ссылка на книгу")</f>
        <v>ссылка на книгу</v>
      </c>
      <c r="Y2396" s="34" t="str">
        <f>HYPERLINK("https://api-enni.alpina.ru/FilePrivilegesApproval/733","https://api-enni.alpina.ru/FilePrivilegesApproval/733")</f>
        <v>https://api-enni.alpina.ru/FilePrivilegesApproval/733</v>
      </c>
      <c r="Z2396" s="13" t="s">
        <v>865</v>
      </c>
      <c r="AT2396" s="1">
        <f t="shared" si="460"/>
        <v>0</v>
      </c>
      <c r="AU2396" s="1">
        <f t="shared" si="461"/>
        <v>0</v>
      </c>
      <c r="AV2396" s="1">
        <f t="shared" si="462"/>
        <v>0</v>
      </c>
      <c r="AW2396" s="1">
        <f t="shared" si="463"/>
        <v>0</v>
      </c>
      <c r="AX2396" s="1">
        <f t="shared" si="464"/>
        <v>0</v>
      </c>
    </row>
    <row r="2397" spans="1:50" s="1" customFormat="1" ht="24.95" customHeight="1" outlineLevel="3" x14ac:dyDescent="0.2">
      <c r="A2397" s="11"/>
      <c r="B2397" s="12">
        <v>490</v>
      </c>
      <c r="C2397" s="12">
        <v>740</v>
      </c>
      <c r="D2397" s="12">
        <v>31070</v>
      </c>
      <c r="E2397" s="13" t="s">
        <v>7814</v>
      </c>
      <c r="F2397" s="13" t="s">
        <v>7815</v>
      </c>
      <c r="G2397" s="13" t="s">
        <v>190</v>
      </c>
      <c r="H2397" s="13" t="s">
        <v>434</v>
      </c>
      <c r="I2397" s="12">
        <v>2025</v>
      </c>
      <c r="J2397" s="13" t="s">
        <v>7816</v>
      </c>
      <c r="K2397" s="12">
        <v>9785961497397</v>
      </c>
      <c r="L2397" s="13" t="s">
        <v>7817</v>
      </c>
      <c r="M2397" s="12">
        <v>352</v>
      </c>
      <c r="N2397" s="14">
        <v>0.3</v>
      </c>
      <c r="O2397" s="12">
        <v>140</v>
      </c>
      <c r="P2397" s="12">
        <v>200</v>
      </c>
      <c r="Q2397" s="12">
        <v>12</v>
      </c>
      <c r="R2397" s="13" t="s">
        <v>43</v>
      </c>
      <c r="S2397" s="13"/>
      <c r="T2397" s="15">
        <v>4000</v>
      </c>
      <c r="U2397" s="13" t="s">
        <v>44</v>
      </c>
      <c r="V2397" s="13" t="s">
        <v>45</v>
      </c>
      <c r="W2397" s="12">
        <v>10</v>
      </c>
      <c r="X2397" s="33" t="str">
        <f>HYPERLINK("https://www.alpinabook.ru/catalog/book-okean-na-dvoikh","ссылка на книгу")</f>
        <v>ссылка на книгу</v>
      </c>
      <c r="Y2397" s="34" t="str">
        <f>HYPERLINK("https://api-enni.alpina.ru/FilePrivilegesApproval/772","https://api-enni.alpina.ru/FilePrivilegesApproval/772")</f>
        <v>https://api-enni.alpina.ru/FilePrivilegesApproval/772</v>
      </c>
      <c r="Z2397" s="13"/>
      <c r="AT2397" s="1">
        <f t="shared" si="460"/>
        <v>0</v>
      </c>
      <c r="AU2397" s="1">
        <f t="shared" si="461"/>
        <v>0</v>
      </c>
      <c r="AV2397" s="1">
        <f t="shared" si="462"/>
        <v>0</v>
      </c>
      <c r="AW2397" s="1">
        <f t="shared" si="463"/>
        <v>0</v>
      </c>
      <c r="AX2397" s="1">
        <f t="shared" si="464"/>
        <v>0</v>
      </c>
    </row>
    <row r="2398" spans="1:50" s="1" customFormat="1" ht="24.95" customHeight="1" outlineLevel="3" x14ac:dyDescent="0.2">
      <c r="A2398" s="11"/>
      <c r="B2398" s="12">
        <v>490</v>
      </c>
      <c r="C2398" s="12">
        <v>740</v>
      </c>
      <c r="D2398" s="12">
        <v>31681</v>
      </c>
      <c r="E2398" s="13" t="s">
        <v>7818</v>
      </c>
      <c r="F2398" s="13" t="s">
        <v>7819</v>
      </c>
      <c r="G2398" s="13" t="s">
        <v>190</v>
      </c>
      <c r="H2398" s="13" t="s">
        <v>434</v>
      </c>
      <c r="I2398" s="12">
        <v>2025</v>
      </c>
      <c r="J2398" s="13" t="s">
        <v>7820</v>
      </c>
      <c r="K2398" s="12">
        <v>9785961499926</v>
      </c>
      <c r="L2398" s="13" t="s">
        <v>7821</v>
      </c>
      <c r="M2398" s="12">
        <v>318</v>
      </c>
      <c r="N2398" s="14">
        <v>0.3</v>
      </c>
      <c r="O2398" s="12">
        <v>140</v>
      </c>
      <c r="P2398" s="12">
        <v>210</v>
      </c>
      <c r="Q2398" s="12">
        <v>12</v>
      </c>
      <c r="R2398" s="13" t="s">
        <v>43</v>
      </c>
      <c r="S2398" s="13"/>
      <c r="T2398" s="15">
        <v>2000</v>
      </c>
      <c r="U2398" s="13" t="s">
        <v>44</v>
      </c>
      <c r="V2398" s="13" t="s">
        <v>45</v>
      </c>
      <c r="W2398" s="12">
        <v>10</v>
      </c>
      <c r="X2398" s="33" t="str">
        <f>HYPERLINK("https://www.alpinabook.ru/catalog/book-polet","ссылка на книгу")</f>
        <v>ссылка на книгу</v>
      </c>
      <c r="Y2398" s="34" t="str">
        <f>HYPERLINK("https://api-enni.alpina.ru/FilePrivilegesApproval/828","https://api-enni.alpina.ru/FilePrivilegesApproval/828")</f>
        <v>https://api-enni.alpina.ru/FilePrivilegesApproval/828</v>
      </c>
      <c r="Z2398" s="13" t="s">
        <v>374</v>
      </c>
      <c r="AT2398" s="1">
        <f t="shared" si="460"/>
        <v>0</v>
      </c>
      <c r="AU2398" s="1">
        <f t="shared" si="461"/>
        <v>0</v>
      </c>
      <c r="AV2398" s="1">
        <f t="shared" si="462"/>
        <v>0</v>
      </c>
      <c r="AW2398" s="1">
        <f t="shared" si="463"/>
        <v>0</v>
      </c>
      <c r="AX2398" s="1">
        <f t="shared" si="464"/>
        <v>0</v>
      </c>
    </row>
    <row r="2399" spans="1:50" s="1" customFormat="1" ht="21.95" customHeight="1" outlineLevel="3" x14ac:dyDescent="0.2">
      <c r="A2399" s="11"/>
      <c r="B2399" s="12">
        <v>640</v>
      </c>
      <c r="C2399" s="12">
        <v>940</v>
      </c>
      <c r="D2399" s="12">
        <v>30079</v>
      </c>
      <c r="E2399" s="13" t="s">
        <v>7778</v>
      </c>
      <c r="F2399" s="13" t="s">
        <v>7822</v>
      </c>
      <c r="G2399" s="13" t="s">
        <v>3511</v>
      </c>
      <c r="H2399" s="13" t="s">
        <v>40</v>
      </c>
      <c r="I2399" s="12">
        <v>2024</v>
      </c>
      <c r="J2399" s="13" t="s">
        <v>7823</v>
      </c>
      <c r="K2399" s="12">
        <v>9785002160358</v>
      </c>
      <c r="L2399" s="13" t="s">
        <v>7824</v>
      </c>
      <c r="M2399" s="12">
        <v>336</v>
      </c>
      <c r="N2399" s="14">
        <v>0.36</v>
      </c>
      <c r="O2399" s="12">
        <v>150</v>
      </c>
      <c r="P2399" s="12">
        <v>210</v>
      </c>
      <c r="Q2399" s="12">
        <v>10</v>
      </c>
      <c r="R2399" s="13" t="s">
        <v>43</v>
      </c>
      <c r="S2399" s="13" t="s">
        <v>7773</v>
      </c>
      <c r="T2399" s="15">
        <v>2017</v>
      </c>
      <c r="U2399" s="13" t="s">
        <v>44</v>
      </c>
      <c r="V2399" s="13" t="s">
        <v>45</v>
      </c>
      <c r="W2399" s="12">
        <v>10</v>
      </c>
      <c r="X2399" s="33" t="str">
        <f>HYPERLINK("https://www.alpinabook.ru/catalog/book-posledniy-dar","ссылка на книгу")</f>
        <v>ссылка на книгу</v>
      </c>
      <c r="Y2399" s="34" t="str">
        <f>HYPERLINK("","")</f>
        <v/>
      </c>
      <c r="Z2399" s="13"/>
      <c r="AT2399" s="1">
        <f t="shared" si="460"/>
        <v>0</v>
      </c>
      <c r="AU2399" s="1">
        <f t="shared" si="461"/>
        <v>0</v>
      </c>
      <c r="AV2399" s="1">
        <f t="shared" si="462"/>
        <v>0</v>
      </c>
      <c r="AW2399" s="1">
        <f t="shared" si="463"/>
        <v>0</v>
      </c>
      <c r="AX2399" s="1">
        <f t="shared" si="464"/>
        <v>0</v>
      </c>
    </row>
    <row r="2400" spans="1:50" s="1" customFormat="1" ht="24.95" customHeight="1" outlineLevel="3" x14ac:dyDescent="0.2">
      <c r="A2400" s="11"/>
      <c r="B2400" s="12">
        <v>940</v>
      </c>
      <c r="C2400" s="12">
        <v>940</v>
      </c>
      <c r="D2400" s="12">
        <v>26671</v>
      </c>
      <c r="E2400" s="13" t="s">
        <v>7778</v>
      </c>
      <c r="F2400" s="13" t="s">
        <v>7825</v>
      </c>
      <c r="G2400" s="13" t="s">
        <v>3511</v>
      </c>
      <c r="H2400" s="13" t="s">
        <v>40</v>
      </c>
      <c r="I2400" s="12">
        <v>2023</v>
      </c>
      <c r="J2400" s="13" t="s">
        <v>7826</v>
      </c>
      <c r="K2400" s="12">
        <v>9785907625037</v>
      </c>
      <c r="L2400" s="13" t="s">
        <v>7827</v>
      </c>
      <c r="M2400" s="12">
        <v>352</v>
      </c>
      <c r="N2400" s="14">
        <v>0.5</v>
      </c>
      <c r="O2400" s="12">
        <v>146</v>
      </c>
      <c r="P2400" s="12">
        <v>216</v>
      </c>
      <c r="Q2400" s="12">
        <v>6</v>
      </c>
      <c r="R2400" s="13" t="s">
        <v>43</v>
      </c>
      <c r="S2400" s="13" t="s">
        <v>7828</v>
      </c>
      <c r="T2400" s="15">
        <v>3017</v>
      </c>
      <c r="U2400" s="13" t="s">
        <v>52</v>
      </c>
      <c r="V2400" s="13" t="s">
        <v>45</v>
      </c>
      <c r="W2400" s="12">
        <v>10</v>
      </c>
      <c r="X2400" s="33" t="str">
        <f>HYPERLINK("https://www.alpinabook.ru/catalog/book-posmertie","ссылка на книгу")</f>
        <v>ссылка на книгу</v>
      </c>
      <c r="Y2400" s="34" t="str">
        <f>HYPERLINK("https://api-enni.alpina.ru/FilePrivilegesApproval/355","https://api-enni.alpina.ru/FilePrivilegesApproval/355")</f>
        <v>https://api-enni.alpina.ru/FilePrivilegesApproval/355</v>
      </c>
      <c r="Z2400" s="13"/>
      <c r="AT2400" s="1">
        <f t="shared" si="460"/>
        <v>0</v>
      </c>
      <c r="AU2400" s="1">
        <f t="shared" si="461"/>
        <v>0</v>
      </c>
      <c r="AV2400" s="1">
        <f t="shared" si="462"/>
        <v>0</v>
      </c>
      <c r="AW2400" s="1">
        <f t="shared" si="463"/>
        <v>0</v>
      </c>
      <c r="AX2400" s="1">
        <f t="shared" si="464"/>
        <v>0</v>
      </c>
    </row>
    <row r="2401" spans="1:50" s="1" customFormat="1" ht="24.95" customHeight="1" outlineLevel="3" x14ac:dyDescent="0.2">
      <c r="A2401" s="11"/>
      <c r="B2401" s="12">
        <v>590</v>
      </c>
      <c r="C2401" s="12">
        <v>590</v>
      </c>
      <c r="D2401" s="12">
        <v>26672</v>
      </c>
      <c r="E2401" s="13" t="s">
        <v>7778</v>
      </c>
      <c r="F2401" s="13" t="s">
        <v>7829</v>
      </c>
      <c r="G2401" s="13" t="s">
        <v>3511</v>
      </c>
      <c r="H2401" s="13" t="s">
        <v>40</v>
      </c>
      <c r="I2401" s="12">
        <v>2023</v>
      </c>
      <c r="J2401" s="13" t="s">
        <v>7830</v>
      </c>
      <c r="K2401" s="12">
        <v>9785907625044</v>
      </c>
      <c r="L2401" s="13" t="s">
        <v>7831</v>
      </c>
      <c r="M2401" s="12">
        <v>352</v>
      </c>
      <c r="N2401" s="14">
        <v>0.4</v>
      </c>
      <c r="O2401" s="12">
        <v>143</v>
      </c>
      <c r="P2401" s="12">
        <v>210</v>
      </c>
      <c r="Q2401" s="12">
        <v>7</v>
      </c>
      <c r="R2401" s="13" t="s">
        <v>43</v>
      </c>
      <c r="S2401" s="13" t="s">
        <v>7828</v>
      </c>
      <c r="T2401" s="15">
        <v>4017</v>
      </c>
      <c r="U2401" s="13" t="s">
        <v>44</v>
      </c>
      <c r="V2401" s="13" t="s">
        <v>45</v>
      </c>
      <c r="W2401" s="12">
        <v>10</v>
      </c>
      <c r="X2401" s="33" t="str">
        <f>HYPERLINK("https://www.alpinabook.ru/catalog/book-posmertie","ссылка на книгу")</f>
        <v>ссылка на книгу</v>
      </c>
      <c r="Y2401" s="34" t="str">
        <f>HYPERLINK("https://api-enni.alpina.ru/FilePrivilegesApproval/355","https://api-enni.alpina.ru/FilePrivilegesApproval/355")</f>
        <v>https://api-enni.alpina.ru/FilePrivilegesApproval/355</v>
      </c>
      <c r="Z2401" s="13"/>
      <c r="AT2401" s="1">
        <f t="shared" si="460"/>
        <v>0</v>
      </c>
      <c r="AU2401" s="1">
        <f t="shared" si="461"/>
        <v>0</v>
      </c>
      <c r="AV2401" s="1">
        <f t="shared" si="462"/>
        <v>0</v>
      </c>
      <c r="AW2401" s="1">
        <f t="shared" si="463"/>
        <v>0</v>
      </c>
      <c r="AX2401" s="1">
        <f t="shared" si="464"/>
        <v>0</v>
      </c>
    </row>
    <row r="2402" spans="1:50" s="1" customFormat="1" ht="24.95" customHeight="1" outlineLevel="3" x14ac:dyDescent="0.2">
      <c r="A2402" s="11"/>
      <c r="B2402" s="12">
        <v>940</v>
      </c>
      <c r="C2402" s="12">
        <v>940</v>
      </c>
      <c r="D2402" s="12">
        <v>26352</v>
      </c>
      <c r="E2402" s="13" t="s">
        <v>7778</v>
      </c>
      <c r="F2402" s="13" t="s">
        <v>7832</v>
      </c>
      <c r="G2402" s="13" t="s">
        <v>3511</v>
      </c>
      <c r="H2402" s="13" t="s">
        <v>40</v>
      </c>
      <c r="I2402" s="12">
        <v>2022</v>
      </c>
      <c r="J2402" s="13" t="s">
        <v>7833</v>
      </c>
      <c r="K2402" s="12">
        <v>9785907625006</v>
      </c>
      <c r="L2402" s="13" t="s">
        <v>7834</v>
      </c>
      <c r="M2402" s="12">
        <v>288</v>
      </c>
      <c r="N2402" s="14">
        <v>0.45</v>
      </c>
      <c r="O2402" s="12">
        <v>147</v>
      </c>
      <c r="P2402" s="12">
        <v>216</v>
      </c>
      <c r="Q2402" s="12">
        <v>7</v>
      </c>
      <c r="R2402" s="13" t="s">
        <v>43</v>
      </c>
      <c r="S2402" s="13" t="s">
        <v>7828</v>
      </c>
      <c r="T2402" s="15">
        <v>3017</v>
      </c>
      <c r="U2402" s="13" t="s">
        <v>52</v>
      </c>
      <c r="V2402" s="13" t="s">
        <v>45</v>
      </c>
      <c r="W2402" s="12">
        <v>10</v>
      </c>
      <c r="X2402" s="33" t="str">
        <f>HYPERLINK("https://www.alpinabook.ru/catalog/book-ray","ссылка на книгу")</f>
        <v>ссылка на книгу</v>
      </c>
      <c r="Y2402" s="34" t="str">
        <f>HYPERLINK("https://api-enni.alpina.ru/FilePrivilegesApproval/306","https://api-enni.alpina.ru/FilePrivilegesApproval/306")</f>
        <v>https://api-enni.alpina.ru/FilePrivilegesApproval/306</v>
      </c>
      <c r="Z2402" s="13"/>
      <c r="AT2402" s="1">
        <f t="shared" si="460"/>
        <v>0</v>
      </c>
      <c r="AU2402" s="1">
        <f t="shared" si="461"/>
        <v>0</v>
      </c>
      <c r="AV2402" s="1">
        <f t="shared" si="462"/>
        <v>0</v>
      </c>
      <c r="AW2402" s="1">
        <f t="shared" si="463"/>
        <v>0</v>
      </c>
      <c r="AX2402" s="1">
        <f t="shared" si="464"/>
        <v>0</v>
      </c>
    </row>
    <row r="2403" spans="1:50" s="1" customFormat="1" ht="24.95" customHeight="1" outlineLevel="3" x14ac:dyDescent="0.2">
      <c r="A2403" s="11"/>
      <c r="B2403" s="12">
        <v>540</v>
      </c>
      <c r="C2403" s="12">
        <v>540</v>
      </c>
      <c r="D2403" s="12">
        <v>26353</v>
      </c>
      <c r="E2403" s="13" t="s">
        <v>7778</v>
      </c>
      <c r="F2403" s="13" t="s">
        <v>7835</v>
      </c>
      <c r="G2403" s="13" t="s">
        <v>3511</v>
      </c>
      <c r="H2403" s="13" t="s">
        <v>40</v>
      </c>
      <c r="I2403" s="12">
        <v>2022</v>
      </c>
      <c r="J2403" s="13" t="s">
        <v>7836</v>
      </c>
      <c r="K2403" s="12">
        <v>9785907625013</v>
      </c>
      <c r="L2403" s="13" t="s">
        <v>7837</v>
      </c>
      <c r="M2403" s="12">
        <v>288</v>
      </c>
      <c r="N2403" s="14">
        <v>0.37</v>
      </c>
      <c r="O2403" s="12">
        <v>141</v>
      </c>
      <c r="P2403" s="12">
        <v>210</v>
      </c>
      <c r="Q2403" s="12">
        <v>7</v>
      </c>
      <c r="R2403" s="13" t="s">
        <v>43</v>
      </c>
      <c r="S2403" s="13" t="s">
        <v>7828</v>
      </c>
      <c r="T2403" s="15">
        <v>4017</v>
      </c>
      <c r="U2403" s="13" t="s">
        <v>44</v>
      </c>
      <c r="V2403" s="13" t="s">
        <v>45</v>
      </c>
      <c r="W2403" s="12">
        <v>10</v>
      </c>
      <c r="X2403" s="33" t="str">
        <f>HYPERLINK("https://www.alpinabook.ru/catalog/book-ray","ссылка на книгу")</f>
        <v>ссылка на книгу</v>
      </c>
      <c r="Y2403" s="34" t="str">
        <f>HYPERLINK("https://api-enni.alpina.ru/FilePrivilegesApproval/306","https://api-enni.alpina.ru/FilePrivilegesApproval/306")</f>
        <v>https://api-enni.alpina.ru/FilePrivilegesApproval/306</v>
      </c>
      <c r="Z2403" s="13"/>
      <c r="AT2403" s="1">
        <f t="shared" si="460"/>
        <v>0</v>
      </c>
      <c r="AU2403" s="1">
        <f t="shared" si="461"/>
        <v>0</v>
      </c>
      <c r="AV2403" s="1">
        <f t="shared" si="462"/>
        <v>0</v>
      </c>
      <c r="AW2403" s="1">
        <f t="shared" si="463"/>
        <v>0</v>
      </c>
      <c r="AX2403" s="1">
        <f t="shared" si="464"/>
        <v>0</v>
      </c>
    </row>
    <row r="2404" spans="1:50" s="1" customFormat="1" ht="21.95" customHeight="1" outlineLevel="3" x14ac:dyDescent="0.2">
      <c r="A2404" s="11"/>
      <c r="B2404" s="12">
        <v>590</v>
      </c>
      <c r="C2404" s="12">
        <v>840</v>
      </c>
      <c r="D2404" s="12">
        <v>33025</v>
      </c>
      <c r="E2404" s="13" t="s">
        <v>7838</v>
      </c>
      <c r="F2404" s="13" t="s">
        <v>7839</v>
      </c>
      <c r="G2404" s="13" t="s">
        <v>49</v>
      </c>
      <c r="H2404" s="13"/>
      <c r="I2404" s="12">
        <v>2025</v>
      </c>
      <c r="J2404" s="13" t="s">
        <v>7840</v>
      </c>
      <c r="K2404" s="12">
        <v>9786018215551</v>
      </c>
      <c r="L2404" s="13" t="s">
        <v>7841</v>
      </c>
      <c r="M2404" s="12">
        <v>155</v>
      </c>
      <c r="N2404" s="14">
        <v>0.3</v>
      </c>
      <c r="O2404" s="12">
        <v>150</v>
      </c>
      <c r="P2404" s="12">
        <v>220</v>
      </c>
      <c r="Q2404" s="12">
        <v>10</v>
      </c>
      <c r="R2404" s="13" t="s">
        <v>43</v>
      </c>
      <c r="S2404" s="13"/>
      <c r="T2404" s="15">
        <v>1000</v>
      </c>
      <c r="U2404" s="13" t="s">
        <v>52</v>
      </c>
      <c r="V2404" s="13" t="s">
        <v>89</v>
      </c>
      <c r="W2404" s="12">
        <v>20</v>
      </c>
      <c r="X2404" s="33" t="str">
        <f>HYPERLINK("https://www.alpinabook.ru/catalog/book-simfoniya-prakha","ссылка на книгу")</f>
        <v>ссылка на книгу</v>
      </c>
      <c r="Y2404" s="34" t="str">
        <f>HYPERLINK("","")</f>
        <v/>
      </c>
      <c r="Z2404" s="13" t="s">
        <v>4526</v>
      </c>
      <c r="AT2404" s="1">
        <f t="shared" si="460"/>
        <v>0</v>
      </c>
      <c r="AU2404" s="1">
        <f t="shared" si="461"/>
        <v>0</v>
      </c>
      <c r="AV2404" s="1">
        <f t="shared" si="462"/>
        <v>0</v>
      </c>
      <c r="AW2404" s="1">
        <f t="shared" si="463"/>
        <v>0</v>
      </c>
      <c r="AX2404" s="1">
        <f t="shared" si="464"/>
        <v>0</v>
      </c>
    </row>
    <row r="2405" spans="1:50" s="1" customFormat="1" ht="24.95" customHeight="1" outlineLevel="3" x14ac:dyDescent="0.2">
      <c r="A2405" s="11"/>
      <c r="B2405" s="12">
        <v>790</v>
      </c>
      <c r="C2405" s="15">
        <v>1190</v>
      </c>
      <c r="D2405" s="12">
        <v>28167</v>
      </c>
      <c r="E2405" s="13" t="s">
        <v>7785</v>
      </c>
      <c r="F2405" s="13" t="s">
        <v>7842</v>
      </c>
      <c r="G2405" s="13" t="s">
        <v>39</v>
      </c>
      <c r="H2405" s="13" t="s">
        <v>164</v>
      </c>
      <c r="I2405" s="12">
        <v>2024</v>
      </c>
      <c r="J2405" s="13" t="s">
        <v>7843</v>
      </c>
      <c r="K2405" s="12">
        <v>9785002230761</v>
      </c>
      <c r="L2405" s="13" t="s">
        <v>7844</v>
      </c>
      <c r="M2405" s="12">
        <v>848</v>
      </c>
      <c r="N2405" s="14">
        <v>0.79</v>
      </c>
      <c r="O2405" s="12">
        <v>140</v>
      </c>
      <c r="P2405" s="12">
        <v>210</v>
      </c>
      <c r="Q2405" s="12">
        <v>4</v>
      </c>
      <c r="R2405" s="13" t="s">
        <v>43</v>
      </c>
      <c r="S2405" s="13" t="s">
        <v>7800</v>
      </c>
      <c r="T2405" s="15">
        <v>3000</v>
      </c>
      <c r="U2405" s="13" t="s">
        <v>44</v>
      </c>
      <c r="V2405" s="13" t="s">
        <v>89</v>
      </c>
      <c r="W2405" s="12">
        <v>10</v>
      </c>
      <c r="X2405" s="33" t="str">
        <f>HYPERLINK("https://www.alpinabook.ru/catalog/book-sobachi-gody","ссылка на книгу")</f>
        <v>ссылка на книгу</v>
      </c>
      <c r="Y2405" s="34" t="str">
        <f>HYPERLINK("https://api-enni.alpina.ru/FilePrivilegesApproval/408","https://api-enni.alpina.ru/FilePrivilegesApproval/408")</f>
        <v>https://api-enni.alpina.ru/FilePrivilegesApproval/408</v>
      </c>
      <c r="Z2405" s="13"/>
      <c r="AT2405" s="1">
        <f t="shared" si="460"/>
        <v>0</v>
      </c>
      <c r="AU2405" s="1">
        <f t="shared" si="461"/>
        <v>0</v>
      </c>
      <c r="AV2405" s="1">
        <f t="shared" si="462"/>
        <v>0</v>
      </c>
      <c r="AW2405" s="1">
        <f t="shared" si="463"/>
        <v>0</v>
      </c>
      <c r="AX2405" s="1">
        <f t="shared" si="464"/>
        <v>0</v>
      </c>
    </row>
    <row r="2406" spans="1:50" s="1" customFormat="1" ht="24.95" customHeight="1" outlineLevel="3" x14ac:dyDescent="0.2">
      <c r="A2406" s="11"/>
      <c r="B2406" s="12">
        <v>490</v>
      </c>
      <c r="C2406" s="12">
        <v>740</v>
      </c>
      <c r="D2406" s="12">
        <v>30520</v>
      </c>
      <c r="E2406" s="13" t="s">
        <v>7845</v>
      </c>
      <c r="F2406" s="13" t="s">
        <v>7846</v>
      </c>
      <c r="G2406" s="13" t="s">
        <v>190</v>
      </c>
      <c r="H2406" s="13" t="s">
        <v>40</v>
      </c>
      <c r="I2406" s="12">
        <v>2025</v>
      </c>
      <c r="J2406" s="13" t="s">
        <v>7847</v>
      </c>
      <c r="K2406" s="12">
        <v>9785961495690</v>
      </c>
      <c r="L2406" s="13" t="s">
        <v>7848</v>
      </c>
      <c r="M2406" s="12">
        <v>460</v>
      </c>
      <c r="N2406" s="14">
        <v>0.37</v>
      </c>
      <c r="O2406" s="12">
        <v>150</v>
      </c>
      <c r="P2406" s="12">
        <v>200</v>
      </c>
      <c r="Q2406" s="12">
        <v>8</v>
      </c>
      <c r="R2406" s="13" t="s">
        <v>43</v>
      </c>
      <c r="S2406" s="13"/>
      <c r="T2406" s="15">
        <v>3000</v>
      </c>
      <c r="U2406" s="13" t="s">
        <v>44</v>
      </c>
      <c r="V2406" s="13" t="s">
        <v>89</v>
      </c>
      <c r="W2406" s="12">
        <v>10</v>
      </c>
      <c r="X2406" s="33" t="str">
        <f>HYPERLINK("https://www.alpinabook.ru/catalog/book-steklyannye-doma","ссылка на книгу")</f>
        <v>ссылка на книгу</v>
      </c>
      <c r="Y2406" s="34" t="str">
        <f>HYPERLINK("https://api-enni.alpina.ru/FilePrivilegesApproval/840","https://api-enni.alpina.ru/FilePrivilegesApproval/840")</f>
        <v>https://api-enni.alpina.ru/FilePrivilegesApproval/840</v>
      </c>
      <c r="Z2406" s="13" t="s">
        <v>865</v>
      </c>
      <c r="AT2406" s="1">
        <f t="shared" si="460"/>
        <v>0</v>
      </c>
      <c r="AU2406" s="1">
        <f t="shared" si="461"/>
        <v>0</v>
      </c>
      <c r="AV2406" s="1">
        <f t="shared" si="462"/>
        <v>0</v>
      </c>
      <c r="AW2406" s="1">
        <f t="shared" si="463"/>
        <v>0</v>
      </c>
      <c r="AX2406" s="1">
        <f t="shared" si="464"/>
        <v>0</v>
      </c>
    </row>
    <row r="2407" spans="1:50" s="1" customFormat="1" ht="24.95" customHeight="1" outlineLevel="3" x14ac:dyDescent="0.2">
      <c r="A2407" s="11"/>
      <c r="B2407" s="12">
        <v>480</v>
      </c>
      <c r="C2407" s="12">
        <v>740</v>
      </c>
      <c r="D2407" s="12">
        <v>30619</v>
      </c>
      <c r="E2407" s="13" t="s">
        <v>7849</v>
      </c>
      <c r="F2407" s="13" t="s">
        <v>7850</v>
      </c>
      <c r="G2407" s="13" t="s">
        <v>190</v>
      </c>
      <c r="H2407" s="13" t="s">
        <v>200</v>
      </c>
      <c r="I2407" s="12">
        <v>2025</v>
      </c>
      <c r="J2407" s="13" t="s">
        <v>7851</v>
      </c>
      <c r="K2407" s="12">
        <v>9785961496086</v>
      </c>
      <c r="L2407" s="13" t="s">
        <v>7852</v>
      </c>
      <c r="M2407" s="12">
        <v>288</v>
      </c>
      <c r="N2407" s="14">
        <v>0.25</v>
      </c>
      <c r="O2407" s="12">
        <v>140</v>
      </c>
      <c r="P2407" s="12">
        <v>200</v>
      </c>
      <c r="Q2407" s="12">
        <v>12</v>
      </c>
      <c r="R2407" s="13" t="s">
        <v>43</v>
      </c>
      <c r="S2407" s="13"/>
      <c r="T2407" s="15">
        <v>2000</v>
      </c>
      <c r="U2407" s="13" t="s">
        <v>44</v>
      </c>
      <c r="V2407" s="13" t="s">
        <v>89</v>
      </c>
      <c r="W2407" s="12">
        <v>10</v>
      </c>
      <c r="X2407" s="33" t="str">
        <f>HYPERLINK("https://www.alpinabook.ru/catalog/book-fizicheskoe-vospitanie","ссылка на книгу")</f>
        <v>ссылка на книгу</v>
      </c>
      <c r="Y2407" s="34" t="str">
        <f>HYPERLINK("https://api-enni.alpina.ru/FilePrivilegesApproval/828","https://api-enni.alpina.ru/FilePrivilegesApproval/828")</f>
        <v>https://api-enni.alpina.ru/FilePrivilegesApproval/828</v>
      </c>
      <c r="Z2407" s="13"/>
      <c r="AT2407" s="1">
        <f t="shared" si="460"/>
        <v>0</v>
      </c>
      <c r="AU2407" s="1">
        <f t="shared" si="461"/>
        <v>0</v>
      </c>
      <c r="AV2407" s="1">
        <f t="shared" si="462"/>
        <v>0</v>
      </c>
      <c r="AW2407" s="1">
        <f t="shared" si="463"/>
        <v>0</v>
      </c>
      <c r="AX2407" s="1">
        <f t="shared" si="464"/>
        <v>0</v>
      </c>
    </row>
    <row r="2408" spans="1:50" s="1" customFormat="1" ht="24.95" customHeight="1" outlineLevel="3" x14ac:dyDescent="0.2">
      <c r="A2408" s="11"/>
      <c r="B2408" s="12">
        <v>790</v>
      </c>
      <c r="C2408" s="15">
        <v>1190</v>
      </c>
      <c r="D2408" s="12">
        <v>26686</v>
      </c>
      <c r="E2408" s="13" t="s">
        <v>7853</v>
      </c>
      <c r="F2408" s="13" t="s">
        <v>7854</v>
      </c>
      <c r="G2408" s="13" t="s">
        <v>3511</v>
      </c>
      <c r="H2408" s="13" t="s">
        <v>40</v>
      </c>
      <c r="I2408" s="12">
        <v>2023</v>
      </c>
      <c r="J2408" s="13" t="s">
        <v>7855</v>
      </c>
      <c r="K2408" s="12">
        <v>9785907625075</v>
      </c>
      <c r="L2408" s="13" t="s">
        <v>7856</v>
      </c>
      <c r="M2408" s="12">
        <v>368</v>
      </c>
      <c r="N2408" s="14">
        <v>0.46</v>
      </c>
      <c r="O2408" s="12">
        <v>150</v>
      </c>
      <c r="P2408" s="12">
        <v>210</v>
      </c>
      <c r="Q2408" s="12">
        <v>6</v>
      </c>
      <c r="R2408" s="13" t="s">
        <v>43</v>
      </c>
      <c r="S2408" s="13" t="s">
        <v>7760</v>
      </c>
      <c r="T2408" s="15">
        <v>4017</v>
      </c>
      <c r="U2408" s="13" t="s">
        <v>44</v>
      </c>
      <c r="V2408" s="13" t="s">
        <v>45</v>
      </c>
      <c r="W2408" s="12">
        <v>10</v>
      </c>
      <c r="X2408" s="33" t="str">
        <f>HYPERLINK("https://www.alpinabook.ru/catalog/book-chest","ссылка на книгу")</f>
        <v>ссылка на книгу</v>
      </c>
      <c r="Y2408" s="34" t="str">
        <f>HYPERLINK("https://api-enni.alpina.ru/FilePrivilegesApproval/356","https://api-enni.alpina.ru/FilePrivilegesApproval/356")</f>
        <v>https://api-enni.alpina.ru/FilePrivilegesApproval/356</v>
      </c>
      <c r="Z2408" s="13"/>
      <c r="AT2408" s="1">
        <f t="shared" si="460"/>
        <v>0</v>
      </c>
      <c r="AU2408" s="1">
        <f t="shared" si="461"/>
        <v>0</v>
      </c>
      <c r="AV2408" s="1">
        <f t="shared" si="462"/>
        <v>0</v>
      </c>
      <c r="AW2408" s="1">
        <f t="shared" si="463"/>
        <v>0</v>
      </c>
      <c r="AX2408" s="1">
        <f t="shared" si="464"/>
        <v>0</v>
      </c>
    </row>
    <row r="2409" spans="1:50" ht="11.1" customHeight="1" outlineLevel="2" x14ac:dyDescent="0.2">
      <c r="A2409" s="40" t="s">
        <v>7857</v>
      </c>
      <c r="B2409" s="40"/>
      <c r="C2409" s="40"/>
      <c r="D2409" s="40"/>
      <c r="E2409" s="40"/>
      <c r="F2409" s="40"/>
      <c r="G2409" s="40"/>
      <c r="H2409" s="40"/>
      <c r="I2409" s="40"/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20"/>
    </row>
    <row r="2410" spans="1:50" s="1" customFormat="1" ht="24.95" customHeight="1" outlineLevel="3" x14ac:dyDescent="0.2">
      <c r="A2410" s="11"/>
      <c r="B2410" s="12">
        <v>490</v>
      </c>
      <c r="C2410" s="12">
        <v>740</v>
      </c>
      <c r="D2410" s="12">
        <v>31072</v>
      </c>
      <c r="E2410" s="13" t="s">
        <v>7858</v>
      </c>
      <c r="F2410" s="13" t="s">
        <v>7859</v>
      </c>
      <c r="G2410" s="13" t="s">
        <v>190</v>
      </c>
      <c r="H2410" s="13" t="s">
        <v>236</v>
      </c>
      <c r="I2410" s="12">
        <v>2025</v>
      </c>
      <c r="J2410" s="13" t="s">
        <v>7860</v>
      </c>
      <c r="K2410" s="12">
        <v>9785961497410</v>
      </c>
      <c r="L2410" s="13" t="s">
        <v>7861</v>
      </c>
      <c r="M2410" s="12">
        <v>348</v>
      </c>
      <c r="N2410" s="14">
        <v>0.28999999999999998</v>
      </c>
      <c r="O2410" s="12">
        <v>140</v>
      </c>
      <c r="P2410" s="12">
        <v>200</v>
      </c>
      <c r="Q2410" s="12">
        <v>10</v>
      </c>
      <c r="R2410" s="13" t="s">
        <v>43</v>
      </c>
      <c r="S2410" s="13"/>
      <c r="T2410" s="15">
        <v>2000</v>
      </c>
      <c r="U2410" s="13" t="s">
        <v>44</v>
      </c>
      <c r="V2410" s="13" t="s">
        <v>45</v>
      </c>
      <c r="W2410" s="12">
        <v>10</v>
      </c>
      <c r="X2410" s="33" t="str">
        <f>HYPERLINK("https://www.alpinabook.ru/catalog/book-vozvrashchenie-v-triest","ссылка на книгу")</f>
        <v>ссылка на книгу</v>
      </c>
      <c r="Y2410" s="34" t="str">
        <f>HYPERLINK("https://api-enni.alpina.ru/FilePrivilegesApproval/796","https://api-enni.alpina.ru/FilePrivilegesApproval/796")</f>
        <v>https://api-enni.alpina.ru/FilePrivilegesApproval/796</v>
      </c>
      <c r="Z2410" s="13" t="s">
        <v>732</v>
      </c>
      <c r="AT2410" s="1">
        <f>IF($A2410&lt;&gt;0,1,0)</f>
        <v>0</v>
      </c>
      <c r="AU2410" s="1">
        <f>$A2410*$B2410</f>
        <v>0</v>
      </c>
      <c r="AV2410" s="1">
        <f>$A2410*$N2410</f>
        <v>0</v>
      </c>
      <c r="AW2410" s="1">
        <f>IF($Q2410=0,0,INT($A2410/$Q2410))</f>
        <v>0</v>
      </c>
      <c r="AX2410" s="1">
        <f>$A2410-$AW2410*$Q2410</f>
        <v>0</v>
      </c>
    </row>
    <row r="2411" spans="1:50" s="1" customFormat="1" ht="24.95" customHeight="1" outlineLevel="3" x14ac:dyDescent="0.2">
      <c r="A2411" s="11"/>
      <c r="B2411" s="12">
        <v>520</v>
      </c>
      <c r="C2411" s="12">
        <v>790</v>
      </c>
      <c r="D2411" s="12">
        <v>29511</v>
      </c>
      <c r="E2411" s="13" t="s">
        <v>7862</v>
      </c>
      <c r="F2411" s="13" t="s">
        <v>7863</v>
      </c>
      <c r="G2411" s="13" t="s">
        <v>190</v>
      </c>
      <c r="H2411" s="13" t="s">
        <v>434</v>
      </c>
      <c r="I2411" s="12">
        <v>2025</v>
      </c>
      <c r="J2411" s="13" t="s">
        <v>7864</v>
      </c>
      <c r="K2411" s="12">
        <v>9785961492910</v>
      </c>
      <c r="L2411" s="13" t="s">
        <v>7865</v>
      </c>
      <c r="M2411" s="12">
        <v>518</v>
      </c>
      <c r="N2411" s="14">
        <v>0.43</v>
      </c>
      <c r="O2411" s="12">
        <v>140</v>
      </c>
      <c r="P2411" s="12">
        <v>200</v>
      </c>
      <c r="Q2411" s="12">
        <v>8</v>
      </c>
      <c r="R2411" s="13" t="s">
        <v>43</v>
      </c>
      <c r="S2411" s="13"/>
      <c r="T2411" s="15">
        <v>3000</v>
      </c>
      <c r="U2411" s="13" t="s">
        <v>44</v>
      </c>
      <c r="V2411" s="13" t="s">
        <v>45</v>
      </c>
      <c r="W2411" s="12">
        <v>10</v>
      </c>
      <c r="X2411" s="33" t="str">
        <f>HYPERLINK("https://www.alpinabook.ru/catalog/book-i-vremya-ostanovilos","ссылка на книгу")</f>
        <v>ссылка на книгу</v>
      </c>
      <c r="Y2411" s="34" t="str">
        <f>HYPERLINK("https://api-enni.alpina.ru/FilePrivilegesApproval/738","https://api-enni.alpina.ru/FilePrivilegesApproval/738")</f>
        <v>https://api-enni.alpina.ru/FilePrivilegesApproval/738</v>
      </c>
      <c r="Z2411" s="13"/>
      <c r="AT2411" s="1">
        <f>IF($A2411&lt;&gt;0,1,0)</f>
        <v>0</v>
      </c>
      <c r="AU2411" s="1">
        <f>$A2411*$B2411</f>
        <v>0</v>
      </c>
      <c r="AV2411" s="1">
        <f>$A2411*$N2411</f>
        <v>0</v>
      </c>
      <c r="AW2411" s="1">
        <f>IF($Q2411=0,0,INT($A2411/$Q2411))</f>
        <v>0</v>
      </c>
      <c r="AX2411" s="1">
        <f>$A2411-$AW2411*$Q2411</f>
        <v>0</v>
      </c>
    </row>
    <row r="2412" spans="1:50" s="1" customFormat="1" ht="24.95" customHeight="1" outlineLevel="3" x14ac:dyDescent="0.2">
      <c r="A2412" s="11"/>
      <c r="B2412" s="12">
        <v>540</v>
      </c>
      <c r="C2412" s="12">
        <v>790</v>
      </c>
      <c r="D2412" s="12">
        <v>28720</v>
      </c>
      <c r="E2412" s="13" t="s">
        <v>7866</v>
      </c>
      <c r="F2412" s="13" t="s">
        <v>7867</v>
      </c>
      <c r="G2412" s="13" t="s">
        <v>3511</v>
      </c>
      <c r="H2412" s="13" t="s">
        <v>40</v>
      </c>
      <c r="I2412" s="12">
        <v>2023</v>
      </c>
      <c r="J2412" s="13" t="s">
        <v>7868</v>
      </c>
      <c r="K2412" s="12">
        <v>9785002160389</v>
      </c>
      <c r="L2412" s="13" t="s">
        <v>7869</v>
      </c>
      <c r="M2412" s="12">
        <v>320</v>
      </c>
      <c r="N2412" s="14">
        <v>0.41</v>
      </c>
      <c r="O2412" s="12">
        <v>150</v>
      </c>
      <c r="P2412" s="12">
        <v>210</v>
      </c>
      <c r="Q2412" s="12">
        <v>8</v>
      </c>
      <c r="R2412" s="13" t="s">
        <v>43</v>
      </c>
      <c r="S2412" s="13" t="s">
        <v>7773</v>
      </c>
      <c r="T2412" s="15">
        <v>2517</v>
      </c>
      <c r="U2412" s="13" t="s">
        <v>44</v>
      </c>
      <c r="V2412" s="13" t="s">
        <v>45</v>
      </c>
      <c r="W2412" s="12">
        <v>10</v>
      </c>
      <c r="X2412" s="33" t="str">
        <f>HYPERLINK("https://www.alpinabook.ru/catalog/book-netanyakhu","ссылка на книгу")</f>
        <v>ссылка на книгу</v>
      </c>
      <c r="Y2412" s="34" t="str">
        <f>HYPERLINK("https://api-enni.alpina.ru/FilePrivilegesApproval/362","https://api-enni.alpina.ru/FilePrivilegesApproval/362")</f>
        <v>https://api-enni.alpina.ru/FilePrivilegesApproval/362</v>
      </c>
      <c r="Z2412" s="13"/>
      <c r="AT2412" s="1">
        <f>IF($A2412&lt;&gt;0,1,0)</f>
        <v>0</v>
      </c>
      <c r="AU2412" s="1">
        <f>$A2412*$B2412</f>
        <v>0</v>
      </c>
      <c r="AV2412" s="1">
        <f>$A2412*$N2412</f>
        <v>0</v>
      </c>
      <c r="AW2412" s="1">
        <f>IF($Q2412=0,0,INT($A2412/$Q2412))</f>
        <v>0</v>
      </c>
      <c r="AX2412" s="1">
        <f>$A2412-$AW2412*$Q2412</f>
        <v>0</v>
      </c>
    </row>
    <row r="2413" spans="1:50" s="1" customFormat="1" ht="24.95" customHeight="1" outlineLevel="3" x14ac:dyDescent="0.2">
      <c r="A2413" s="11"/>
      <c r="B2413" s="12">
        <v>490</v>
      </c>
      <c r="C2413" s="12">
        <v>740</v>
      </c>
      <c r="D2413" s="12">
        <v>31114</v>
      </c>
      <c r="E2413" s="13" t="s">
        <v>188</v>
      </c>
      <c r="F2413" s="13" t="s">
        <v>189</v>
      </c>
      <c r="G2413" s="13" t="s">
        <v>190</v>
      </c>
      <c r="H2413" s="13" t="s">
        <v>40</v>
      </c>
      <c r="I2413" s="12">
        <v>2025</v>
      </c>
      <c r="J2413" s="13" t="s">
        <v>191</v>
      </c>
      <c r="K2413" s="12">
        <v>9785961497601</v>
      </c>
      <c r="L2413" s="13" t="s">
        <v>192</v>
      </c>
      <c r="M2413" s="12">
        <v>464</v>
      </c>
      <c r="N2413" s="14">
        <v>0.36</v>
      </c>
      <c r="O2413" s="12">
        <v>140</v>
      </c>
      <c r="P2413" s="12">
        <v>200</v>
      </c>
      <c r="Q2413" s="12">
        <v>6</v>
      </c>
      <c r="R2413" s="13" t="s">
        <v>43</v>
      </c>
      <c r="S2413" s="13" t="s">
        <v>193</v>
      </c>
      <c r="T2413" s="15">
        <v>3000</v>
      </c>
      <c r="U2413" s="13" t="s">
        <v>44</v>
      </c>
      <c r="V2413" s="13" t="s">
        <v>45</v>
      </c>
      <c r="W2413" s="12">
        <v>10</v>
      </c>
      <c r="X2413" s="33" t="str">
        <f>HYPERLINK("https://www.alpinabook.ru/catalog/book-razve-my-ne-mozhem-byt-podrugami","ссылка на книгу")</f>
        <v>ссылка на книгу</v>
      </c>
      <c r="Y2413" s="34" t="str">
        <f>HYPERLINK("https://api-enni.alpina.ru/FilePrivilegesApproval/857","https://api-enni.alpina.ru/FilePrivilegesApproval/857")</f>
        <v>https://api-enni.alpina.ru/FilePrivilegesApproval/857</v>
      </c>
      <c r="Z2413" s="13" t="s">
        <v>194</v>
      </c>
      <c r="AT2413" s="1">
        <f>IF($A2413&lt;&gt;0,1,0)</f>
        <v>0</v>
      </c>
      <c r="AU2413" s="1">
        <f>$A2413*$B2413</f>
        <v>0</v>
      </c>
      <c r="AV2413" s="1">
        <f>$A2413*$N2413</f>
        <v>0</v>
      </c>
      <c r="AW2413" s="1">
        <f>IF($Q2413=0,0,INT($A2413/$Q2413))</f>
        <v>0</v>
      </c>
      <c r="AX2413" s="1">
        <f>$A2413-$AW2413*$Q2413</f>
        <v>0</v>
      </c>
    </row>
    <row r="2414" spans="1:50" s="1" customFormat="1" ht="24.95" customHeight="1" outlineLevel="3" x14ac:dyDescent="0.2">
      <c r="A2414" s="11"/>
      <c r="B2414" s="12">
        <v>390</v>
      </c>
      <c r="C2414" s="12">
        <v>640</v>
      </c>
      <c r="D2414" s="12">
        <v>31753</v>
      </c>
      <c r="E2414" s="13" t="s">
        <v>234</v>
      </c>
      <c r="F2414" s="13" t="s">
        <v>235</v>
      </c>
      <c r="G2414" s="13" t="s">
        <v>190</v>
      </c>
      <c r="H2414" s="13" t="s">
        <v>236</v>
      </c>
      <c r="I2414" s="12">
        <v>2025</v>
      </c>
      <c r="J2414" s="13" t="s">
        <v>237</v>
      </c>
      <c r="K2414" s="12">
        <v>9785006300071</v>
      </c>
      <c r="L2414" s="13" t="s">
        <v>238</v>
      </c>
      <c r="M2414" s="12">
        <v>240</v>
      </c>
      <c r="N2414" s="14">
        <v>0.2</v>
      </c>
      <c r="O2414" s="12">
        <v>140</v>
      </c>
      <c r="P2414" s="12">
        <v>200</v>
      </c>
      <c r="Q2414" s="12">
        <v>14</v>
      </c>
      <c r="R2414" s="13" t="s">
        <v>43</v>
      </c>
      <c r="S2414" s="13" t="s">
        <v>193</v>
      </c>
      <c r="T2414" s="15">
        <v>3000</v>
      </c>
      <c r="U2414" s="13" t="s">
        <v>44</v>
      </c>
      <c r="V2414" s="13" t="s">
        <v>45</v>
      </c>
      <c r="W2414" s="12">
        <v>10</v>
      </c>
      <c r="X2414" s="33" t="str">
        <f>HYPERLINK("https://www.alpinabook.ru/catalog/book-ya-mari-kyuri","ссылка на книгу")</f>
        <v>ссылка на книгу</v>
      </c>
      <c r="Y2414" s="34" t="str">
        <f>HYPERLINK("https://api-enni.alpina.ru/FilePrivilegesApproval/796","https://api-enni.alpina.ru/FilePrivilegesApproval/796")</f>
        <v>https://api-enni.alpina.ru/FilePrivilegesApproval/796</v>
      </c>
      <c r="Z2414" s="13" t="s">
        <v>83</v>
      </c>
      <c r="AT2414" s="1">
        <f>IF($A2414&lt;&gt;0,1,0)</f>
        <v>0</v>
      </c>
      <c r="AU2414" s="1">
        <f>$A2414*$B2414</f>
        <v>0</v>
      </c>
      <c r="AV2414" s="1">
        <f>$A2414*$N2414</f>
        <v>0</v>
      </c>
      <c r="AW2414" s="1">
        <f>IF($Q2414=0,0,INT($A2414/$Q2414))</f>
        <v>0</v>
      </c>
      <c r="AX2414" s="1">
        <f>$A2414-$AW2414*$Q2414</f>
        <v>0</v>
      </c>
    </row>
    <row r="2415" spans="1:50" ht="11.1" customHeight="1" outlineLevel="2" x14ac:dyDescent="0.2">
      <c r="A2415" s="40" t="s">
        <v>7870</v>
      </c>
      <c r="B2415" s="40"/>
      <c r="C2415" s="40"/>
      <c r="D2415" s="40"/>
      <c r="E2415" s="40"/>
      <c r="F2415" s="40"/>
      <c r="G2415" s="40"/>
      <c r="H2415" s="40"/>
      <c r="I2415" s="40"/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20"/>
    </row>
    <row r="2416" spans="1:50" s="1" customFormat="1" ht="24.95" customHeight="1" outlineLevel="3" x14ac:dyDescent="0.2">
      <c r="A2416" s="11"/>
      <c r="B2416" s="12">
        <v>490</v>
      </c>
      <c r="C2416" s="12">
        <v>640</v>
      </c>
      <c r="D2416" s="12">
        <v>27454</v>
      </c>
      <c r="E2416" s="13" t="s">
        <v>7871</v>
      </c>
      <c r="F2416" s="13" t="s">
        <v>7872</v>
      </c>
      <c r="G2416" s="13" t="s">
        <v>190</v>
      </c>
      <c r="H2416" s="13" t="s">
        <v>40</v>
      </c>
      <c r="I2416" s="12">
        <v>2024</v>
      </c>
      <c r="J2416" s="13" t="s">
        <v>7873</v>
      </c>
      <c r="K2416" s="12">
        <v>9785961485196</v>
      </c>
      <c r="L2416" s="13" t="s">
        <v>7874</v>
      </c>
      <c r="M2416" s="12">
        <v>356</v>
      </c>
      <c r="N2416" s="14">
        <v>0.34</v>
      </c>
      <c r="O2416" s="12">
        <v>140</v>
      </c>
      <c r="P2416" s="12">
        <v>200</v>
      </c>
      <c r="Q2416" s="12">
        <v>16</v>
      </c>
      <c r="R2416" s="13" t="s">
        <v>43</v>
      </c>
      <c r="S2416" s="13"/>
      <c r="T2416" s="15">
        <v>4000</v>
      </c>
      <c r="U2416" s="13" t="s">
        <v>44</v>
      </c>
      <c r="V2416" s="13" t="s">
        <v>89</v>
      </c>
      <c r="W2416" s="12">
        <v>10</v>
      </c>
      <c r="X2416" s="33" t="str">
        <f>HYPERLINK("https://www.alpinabook.ru/catalog/book-vsled-za-ember","ссылка на книгу")</f>
        <v>ссылка на книгу</v>
      </c>
      <c r="Y2416" s="34" t="str">
        <f>HYPERLINK("https://api-enni.alpina.ru/FilePrivilegesApproval/430","https://api-enni.alpina.ru/FilePrivilegesApproval/430")</f>
        <v>https://api-enni.alpina.ru/FilePrivilegesApproval/430</v>
      </c>
      <c r="Z2416" s="13"/>
      <c r="AT2416" s="1">
        <f t="shared" ref="AT2416:AT2435" si="465">IF($A2416&lt;&gt;0,1,0)</f>
        <v>0</v>
      </c>
      <c r="AU2416" s="1">
        <f t="shared" ref="AU2416:AU2435" si="466">$A2416*$B2416</f>
        <v>0</v>
      </c>
      <c r="AV2416" s="1">
        <f t="shared" ref="AV2416:AV2435" si="467">$A2416*$N2416</f>
        <v>0</v>
      </c>
      <c r="AW2416" s="1">
        <f t="shared" ref="AW2416:AW2435" si="468">IF($Q2416=0,0,INT($A2416/$Q2416))</f>
        <v>0</v>
      </c>
      <c r="AX2416" s="1">
        <f t="shared" ref="AX2416:AX2435" si="469">$A2416-$AW2416*$Q2416</f>
        <v>0</v>
      </c>
    </row>
    <row r="2417" spans="1:50" s="1" customFormat="1" ht="24.95" customHeight="1" outlineLevel="3" x14ac:dyDescent="0.2">
      <c r="A2417" s="11"/>
      <c r="B2417" s="12">
        <v>440</v>
      </c>
      <c r="C2417" s="12">
        <v>640</v>
      </c>
      <c r="D2417" s="12">
        <v>28698</v>
      </c>
      <c r="E2417" s="13" t="s">
        <v>7875</v>
      </c>
      <c r="F2417" s="13" t="s">
        <v>7876</v>
      </c>
      <c r="G2417" s="13" t="s">
        <v>190</v>
      </c>
      <c r="H2417" s="13" t="s">
        <v>434</v>
      </c>
      <c r="I2417" s="12">
        <v>2024</v>
      </c>
      <c r="J2417" s="13" t="s">
        <v>7877</v>
      </c>
      <c r="K2417" s="12">
        <v>9785961489729</v>
      </c>
      <c r="L2417" s="13" t="s">
        <v>7878</v>
      </c>
      <c r="M2417" s="12">
        <v>286</v>
      </c>
      <c r="N2417" s="14">
        <v>0.34</v>
      </c>
      <c r="O2417" s="12">
        <v>140</v>
      </c>
      <c r="P2417" s="12">
        <v>200</v>
      </c>
      <c r="Q2417" s="12">
        <v>12</v>
      </c>
      <c r="R2417" s="13" t="s">
        <v>43</v>
      </c>
      <c r="S2417" s="13"/>
      <c r="T2417" s="15">
        <v>4000</v>
      </c>
      <c r="U2417" s="13" t="s">
        <v>44</v>
      </c>
      <c r="V2417" s="13" t="s">
        <v>45</v>
      </c>
      <c r="W2417" s="12">
        <v>10</v>
      </c>
      <c r="X2417" s="33" t="str">
        <f>HYPERLINK("https://www.alpinabook.ru/catalog/book-zhelayu-nam-tysyachi-groz","ссылка на книгу")</f>
        <v>ссылка на книгу</v>
      </c>
      <c r="Y2417" s="34" t="str">
        <f>HYPERLINK("https://api-enni.alpina.ru/FilePrivilegesApproval/380","https://api-enni.alpina.ru/FilePrivilegesApproval/380")</f>
        <v>https://api-enni.alpina.ru/FilePrivilegesApproval/380</v>
      </c>
      <c r="Z2417" s="13"/>
      <c r="AT2417" s="1">
        <f t="shared" si="465"/>
        <v>0</v>
      </c>
      <c r="AU2417" s="1">
        <f t="shared" si="466"/>
        <v>0</v>
      </c>
      <c r="AV2417" s="1">
        <f t="shared" si="467"/>
        <v>0</v>
      </c>
      <c r="AW2417" s="1">
        <f t="shared" si="468"/>
        <v>0</v>
      </c>
      <c r="AX2417" s="1">
        <f t="shared" si="469"/>
        <v>0</v>
      </c>
    </row>
    <row r="2418" spans="1:50" s="1" customFormat="1" ht="24.95" customHeight="1" outlineLevel="3" x14ac:dyDescent="0.2">
      <c r="A2418" s="11"/>
      <c r="B2418" s="12">
        <v>490</v>
      </c>
      <c r="C2418" s="12">
        <v>740</v>
      </c>
      <c r="D2418" s="12">
        <v>27961</v>
      </c>
      <c r="E2418" s="13" t="s">
        <v>7879</v>
      </c>
      <c r="F2418" s="13" t="s">
        <v>7880</v>
      </c>
      <c r="G2418" s="13" t="s">
        <v>190</v>
      </c>
      <c r="H2418" s="13" t="s">
        <v>236</v>
      </c>
      <c r="I2418" s="12">
        <v>2024</v>
      </c>
      <c r="J2418" s="13" t="s">
        <v>7881</v>
      </c>
      <c r="K2418" s="12">
        <v>9785961486933</v>
      </c>
      <c r="L2418" s="13" t="s">
        <v>7882</v>
      </c>
      <c r="M2418" s="12">
        <v>423</v>
      </c>
      <c r="N2418" s="14">
        <v>0.35</v>
      </c>
      <c r="O2418" s="12">
        <v>140</v>
      </c>
      <c r="P2418" s="12">
        <v>200</v>
      </c>
      <c r="Q2418" s="12">
        <v>10</v>
      </c>
      <c r="R2418" s="13" t="s">
        <v>43</v>
      </c>
      <c r="S2418" s="13"/>
      <c r="T2418" s="15">
        <v>3000</v>
      </c>
      <c r="U2418" s="13" t="s">
        <v>44</v>
      </c>
      <c r="V2418" s="13" t="s">
        <v>45</v>
      </c>
      <c r="W2418" s="12">
        <v>10</v>
      </c>
      <c r="X2418" s="33" t="str">
        <f>HYPERLINK("https://www.alpinabook.ru/catalog/book-zhenshchina-kotoraya-zhila-u-morya","ссылка на книгу")</f>
        <v>ссылка на книгу</v>
      </c>
      <c r="Y2418" s="34" t="str">
        <f>HYPERLINK("https://api-enni.alpina.ru/FilePrivilegesApproval/710","https://api-enni.alpina.ru/FilePrivilegesApproval/710")</f>
        <v>https://api-enni.alpina.ru/FilePrivilegesApproval/710</v>
      </c>
      <c r="Z2418" s="13"/>
      <c r="AT2418" s="1">
        <f t="shared" si="465"/>
        <v>0</v>
      </c>
      <c r="AU2418" s="1">
        <f t="shared" si="466"/>
        <v>0</v>
      </c>
      <c r="AV2418" s="1">
        <f t="shared" si="467"/>
        <v>0</v>
      </c>
      <c r="AW2418" s="1">
        <f t="shared" si="468"/>
        <v>0</v>
      </c>
      <c r="AX2418" s="1">
        <f t="shared" si="469"/>
        <v>0</v>
      </c>
    </row>
    <row r="2419" spans="1:50" s="1" customFormat="1" ht="24.95" customHeight="1" outlineLevel="3" x14ac:dyDescent="0.2">
      <c r="A2419" s="11"/>
      <c r="B2419" s="12">
        <v>390</v>
      </c>
      <c r="C2419" s="12">
        <v>690</v>
      </c>
      <c r="D2419" s="12">
        <v>28957</v>
      </c>
      <c r="E2419" s="13" t="s">
        <v>7883</v>
      </c>
      <c r="F2419" s="13" t="s">
        <v>7884</v>
      </c>
      <c r="G2419" s="13" t="s">
        <v>190</v>
      </c>
      <c r="H2419" s="13" t="s">
        <v>236</v>
      </c>
      <c r="I2419" s="12">
        <v>2024</v>
      </c>
      <c r="J2419" s="13" t="s">
        <v>7885</v>
      </c>
      <c r="K2419" s="12">
        <v>9785961490824</v>
      </c>
      <c r="L2419" s="13" t="s">
        <v>7886</v>
      </c>
      <c r="M2419" s="12">
        <v>316</v>
      </c>
      <c r="N2419" s="14">
        <v>0.27</v>
      </c>
      <c r="O2419" s="12">
        <v>140</v>
      </c>
      <c r="P2419" s="12">
        <v>200</v>
      </c>
      <c r="Q2419" s="12">
        <v>14</v>
      </c>
      <c r="R2419" s="13" t="s">
        <v>43</v>
      </c>
      <c r="S2419" s="13"/>
      <c r="T2419" s="15">
        <v>3000</v>
      </c>
      <c r="U2419" s="13" t="s">
        <v>44</v>
      </c>
      <c r="V2419" s="13" t="s">
        <v>45</v>
      </c>
      <c r="W2419" s="12">
        <v>10</v>
      </c>
      <c r="X2419" s="33" t="str">
        <f>HYPERLINK("https://www.alpinabook.ru/catalog/book-zavtra-veter-peremenitsya","ссылка на книгу")</f>
        <v>ссылка на книгу</v>
      </c>
      <c r="Y2419" s="34" t="str">
        <f>HYPERLINK("https://api-enni.alpina.ru/FilePrivilegesApproval/370","https://api-enni.alpina.ru/FilePrivilegesApproval/370")</f>
        <v>https://api-enni.alpina.ru/FilePrivilegesApproval/370</v>
      </c>
      <c r="Z2419" s="13"/>
      <c r="AT2419" s="1">
        <f t="shared" si="465"/>
        <v>0</v>
      </c>
      <c r="AU2419" s="1">
        <f t="shared" si="466"/>
        <v>0</v>
      </c>
      <c r="AV2419" s="1">
        <f t="shared" si="467"/>
        <v>0</v>
      </c>
      <c r="AW2419" s="1">
        <f t="shared" si="468"/>
        <v>0</v>
      </c>
      <c r="AX2419" s="1">
        <f t="shared" si="469"/>
        <v>0</v>
      </c>
    </row>
    <row r="2420" spans="1:50" s="1" customFormat="1" ht="24.95" customHeight="1" outlineLevel="3" x14ac:dyDescent="0.2">
      <c r="A2420" s="11"/>
      <c r="B2420" s="12">
        <v>490</v>
      </c>
      <c r="C2420" s="12">
        <v>740</v>
      </c>
      <c r="D2420" s="12">
        <v>28471</v>
      </c>
      <c r="E2420" s="13" t="s">
        <v>7887</v>
      </c>
      <c r="F2420" s="13" t="s">
        <v>7888</v>
      </c>
      <c r="G2420" s="13" t="s">
        <v>190</v>
      </c>
      <c r="H2420" s="13" t="s">
        <v>236</v>
      </c>
      <c r="I2420" s="12">
        <v>2024</v>
      </c>
      <c r="J2420" s="13" t="s">
        <v>7889</v>
      </c>
      <c r="K2420" s="12">
        <v>9785961489057</v>
      </c>
      <c r="L2420" s="13" t="s">
        <v>7890</v>
      </c>
      <c r="M2420" s="12">
        <v>640</v>
      </c>
      <c r="N2420" s="14">
        <v>0.54</v>
      </c>
      <c r="O2420" s="12">
        <v>140</v>
      </c>
      <c r="P2420" s="12">
        <v>200</v>
      </c>
      <c r="Q2420" s="12">
        <v>10</v>
      </c>
      <c r="R2420" s="13" t="s">
        <v>43</v>
      </c>
      <c r="S2420" s="13"/>
      <c r="T2420" s="15">
        <v>4000</v>
      </c>
      <c r="U2420" s="13" t="s">
        <v>44</v>
      </c>
      <c r="V2420" s="13" t="s">
        <v>89</v>
      </c>
      <c r="W2420" s="12">
        <v>10</v>
      </c>
      <c r="X2420" s="33" t="str">
        <f>HYPERLINK("https://www.alpinabook.ru/catalog/book-intimnaya-zhizn-nashikh-predkov","ссылка на книгу")</f>
        <v>ссылка на книгу</v>
      </c>
      <c r="Y2420" s="34" t="str">
        <f>HYPERLINK("https://api-enni.alpina.ru/FilePrivilegesApproval/547","https://api-enni.alpina.ru/FilePrivilegesApproval/547")</f>
        <v>https://api-enni.alpina.ru/FilePrivilegesApproval/547</v>
      </c>
      <c r="Z2420" s="13"/>
      <c r="AT2420" s="1">
        <f t="shared" si="465"/>
        <v>0</v>
      </c>
      <c r="AU2420" s="1">
        <f t="shared" si="466"/>
        <v>0</v>
      </c>
      <c r="AV2420" s="1">
        <f t="shared" si="467"/>
        <v>0</v>
      </c>
      <c r="AW2420" s="1">
        <f t="shared" si="468"/>
        <v>0</v>
      </c>
      <c r="AX2420" s="1">
        <f t="shared" si="469"/>
        <v>0</v>
      </c>
    </row>
    <row r="2421" spans="1:50" s="1" customFormat="1" ht="24.95" customHeight="1" outlineLevel="3" x14ac:dyDescent="0.2">
      <c r="A2421" s="11"/>
      <c r="B2421" s="12">
        <v>440</v>
      </c>
      <c r="C2421" s="12">
        <v>690</v>
      </c>
      <c r="D2421" s="12">
        <v>30412</v>
      </c>
      <c r="E2421" s="13" t="s">
        <v>7891</v>
      </c>
      <c r="F2421" s="13" t="s">
        <v>7892</v>
      </c>
      <c r="G2421" s="13" t="s">
        <v>190</v>
      </c>
      <c r="H2421" s="13" t="s">
        <v>434</v>
      </c>
      <c r="I2421" s="12">
        <v>2024</v>
      </c>
      <c r="J2421" s="13" t="s">
        <v>7893</v>
      </c>
      <c r="K2421" s="12">
        <v>9785961495430</v>
      </c>
      <c r="L2421" s="13" t="s">
        <v>7894</v>
      </c>
      <c r="M2421" s="12">
        <v>260</v>
      </c>
      <c r="N2421" s="14">
        <v>0.22</v>
      </c>
      <c r="O2421" s="12">
        <v>140</v>
      </c>
      <c r="P2421" s="12">
        <v>200</v>
      </c>
      <c r="Q2421" s="12">
        <v>14</v>
      </c>
      <c r="R2421" s="13" t="s">
        <v>43</v>
      </c>
      <c r="S2421" s="13"/>
      <c r="T2421" s="15">
        <v>4000</v>
      </c>
      <c r="U2421" s="13" t="s">
        <v>44</v>
      </c>
      <c r="V2421" s="13" t="s">
        <v>89</v>
      </c>
      <c r="W2421" s="12">
        <v>10</v>
      </c>
      <c r="X2421" s="33" t="str">
        <f>HYPERLINK("https://www.alpinabook.ru/catalog/book-kto-ty-billi-pritti","ссылка на книгу")</f>
        <v>ссылка на книгу</v>
      </c>
      <c r="Y2421" s="34" t="str">
        <f>HYPERLINK("https://api-enni.alpina.ru/FilePrivilegesApproval/717","https://api-enni.alpina.ru/FilePrivilegesApproval/717")</f>
        <v>https://api-enni.alpina.ru/FilePrivilegesApproval/717</v>
      </c>
      <c r="Z2421" s="13"/>
      <c r="AT2421" s="1">
        <f t="shared" si="465"/>
        <v>0</v>
      </c>
      <c r="AU2421" s="1">
        <f t="shared" si="466"/>
        <v>0</v>
      </c>
      <c r="AV2421" s="1">
        <f t="shared" si="467"/>
        <v>0</v>
      </c>
      <c r="AW2421" s="1">
        <f t="shared" si="468"/>
        <v>0</v>
      </c>
      <c r="AX2421" s="1">
        <f t="shared" si="469"/>
        <v>0</v>
      </c>
    </row>
    <row r="2422" spans="1:50" s="1" customFormat="1" ht="24.95" customHeight="1" outlineLevel="3" x14ac:dyDescent="0.2">
      <c r="A2422" s="11"/>
      <c r="B2422" s="12">
        <v>490</v>
      </c>
      <c r="C2422" s="12">
        <v>740</v>
      </c>
      <c r="D2422" s="12">
        <v>27946</v>
      </c>
      <c r="E2422" s="13" t="s">
        <v>7845</v>
      </c>
      <c r="F2422" s="13" t="s">
        <v>7895</v>
      </c>
      <c r="G2422" s="13" t="s">
        <v>190</v>
      </c>
      <c r="H2422" s="13" t="s">
        <v>40</v>
      </c>
      <c r="I2422" s="12">
        <v>2025</v>
      </c>
      <c r="J2422" s="13" t="s">
        <v>7896</v>
      </c>
      <c r="K2422" s="12">
        <v>9785961486889</v>
      </c>
      <c r="L2422" s="13" t="s">
        <v>7897</v>
      </c>
      <c r="M2422" s="12">
        <v>470</v>
      </c>
      <c r="N2422" s="14">
        <v>0.5</v>
      </c>
      <c r="O2422" s="12">
        <v>140</v>
      </c>
      <c r="P2422" s="12">
        <v>200</v>
      </c>
      <c r="Q2422" s="12">
        <v>3</v>
      </c>
      <c r="R2422" s="13" t="s">
        <v>43</v>
      </c>
      <c r="S2422" s="13"/>
      <c r="T2422" s="15">
        <v>1000</v>
      </c>
      <c r="U2422" s="13" t="s">
        <v>44</v>
      </c>
      <c r="V2422" s="13" t="s">
        <v>89</v>
      </c>
      <c r="W2422" s="12">
        <v>10</v>
      </c>
      <c r="X2422" s="33" t="str">
        <f>HYPERLINK("https://www.alpinabook.ru/catalog/book-nablyudatel","ссылка на книгу")</f>
        <v>ссылка на книгу</v>
      </c>
      <c r="Y2422" s="34" t="str">
        <f>HYPERLINK("https://api-enni.alpina.ru/FilePrivilegesApproval/327","https://api-enni.alpina.ru/FilePrivilegesApproval/327")</f>
        <v>https://api-enni.alpina.ru/FilePrivilegesApproval/327</v>
      </c>
      <c r="Z2422" s="13" t="s">
        <v>4937</v>
      </c>
      <c r="AT2422" s="1">
        <f t="shared" si="465"/>
        <v>0</v>
      </c>
      <c r="AU2422" s="1">
        <f t="shared" si="466"/>
        <v>0</v>
      </c>
      <c r="AV2422" s="1">
        <f t="shared" si="467"/>
        <v>0</v>
      </c>
      <c r="AW2422" s="1">
        <f t="shared" si="468"/>
        <v>0</v>
      </c>
      <c r="AX2422" s="1">
        <f t="shared" si="469"/>
        <v>0</v>
      </c>
    </row>
    <row r="2423" spans="1:50" s="1" customFormat="1" ht="24.95" customHeight="1" outlineLevel="3" x14ac:dyDescent="0.2">
      <c r="A2423" s="11"/>
      <c r="B2423" s="12">
        <v>480</v>
      </c>
      <c r="C2423" s="12">
        <v>640</v>
      </c>
      <c r="D2423" s="12">
        <v>27973</v>
      </c>
      <c r="E2423" s="13" t="s">
        <v>7898</v>
      </c>
      <c r="F2423" s="13" t="s">
        <v>7899</v>
      </c>
      <c r="G2423" s="13" t="s">
        <v>190</v>
      </c>
      <c r="H2423" s="13" t="s">
        <v>434</v>
      </c>
      <c r="I2423" s="12">
        <v>2024</v>
      </c>
      <c r="J2423" s="13" t="s">
        <v>7900</v>
      </c>
      <c r="K2423" s="12">
        <v>9785961486971</v>
      </c>
      <c r="L2423" s="13" t="s">
        <v>7901</v>
      </c>
      <c r="M2423" s="12">
        <v>240</v>
      </c>
      <c r="N2423" s="14">
        <v>0.2</v>
      </c>
      <c r="O2423" s="12">
        <v>140</v>
      </c>
      <c r="P2423" s="12">
        <v>200</v>
      </c>
      <c r="Q2423" s="12">
        <v>20</v>
      </c>
      <c r="R2423" s="13" t="s">
        <v>43</v>
      </c>
      <c r="S2423" s="13"/>
      <c r="T2423" s="15">
        <v>3000</v>
      </c>
      <c r="U2423" s="13" t="s">
        <v>44</v>
      </c>
      <c r="V2423" s="13" t="s">
        <v>45</v>
      </c>
      <c r="W2423" s="12">
        <v>10</v>
      </c>
      <c r="X2423" s="33" t="str">
        <f>HYPERLINK("https://www.alpinabook.ru/catalog/book-po-vole-perseid","ссылка на книгу")</f>
        <v>ссылка на книгу</v>
      </c>
      <c r="Y2423" s="34" t="str">
        <f>HYPERLINK("https://api-enni.alpina.ru/FilePrivilegesApproval/387","https://api-enni.alpina.ru/FilePrivilegesApproval/387")</f>
        <v>https://api-enni.alpina.ru/FilePrivilegesApproval/387</v>
      </c>
      <c r="Z2423" s="13"/>
      <c r="AT2423" s="1">
        <f t="shared" si="465"/>
        <v>0</v>
      </c>
      <c r="AU2423" s="1">
        <f t="shared" si="466"/>
        <v>0</v>
      </c>
      <c r="AV2423" s="1">
        <f t="shared" si="467"/>
        <v>0</v>
      </c>
      <c r="AW2423" s="1">
        <f t="shared" si="468"/>
        <v>0</v>
      </c>
      <c r="AX2423" s="1">
        <f t="shared" si="469"/>
        <v>0</v>
      </c>
    </row>
    <row r="2424" spans="1:50" s="1" customFormat="1" ht="24.95" customHeight="1" outlineLevel="3" x14ac:dyDescent="0.2">
      <c r="A2424" s="11"/>
      <c r="B2424" s="12">
        <v>440</v>
      </c>
      <c r="C2424" s="12">
        <v>650</v>
      </c>
      <c r="D2424" s="12">
        <v>27967</v>
      </c>
      <c r="E2424" s="13" t="s">
        <v>7898</v>
      </c>
      <c r="F2424" s="13" t="s">
        <v>7902</v>
      </c>
      <c r="G2424" s="13" t="s">
        <v>190</v>
      </c>
      <c r="H2424" s="13" t="s">
        <v>434</v>
      </c>
      <c r="I2424" s="12">
        <v>2024</v>
      </c>
      <c r="J2424" s="13" t="s">
        <v>7903</v>
      </c>
      <c r="K2424" s="12">
        <v>9785961486957</v>
      </c>
      <c r="L2424" s="13" t="s">
        <v>7904</v>
      </c>
      <c r="M2424" s="12">
        <v>218</v>
      </c>
      <c r="N2424" s="14">
        <v>0.27</v>
      </c>
      <c r="O2424" s="12">
        <v>140</v>
      </c>
      <c r="P2424" s="12">
        <v>200</v>
      </c>
      <c r="Q2424" s="12">
        <v>10</v>
      </c>
      <c r="R2424" s="13" t="s">
        <v>43</v>
      </c>
      <c r="S2424" s="13"/>
      <c r="T2424" s="15">
        <v>4000</v>
      </c>
      <c r="U2424" s="13" t="s">
        <v>44</v>
      </c>
      <c r="V2424" s="13" t="s">
        <v>45</v>
      </c>
      <c r="W2424" s="12">
        <v>10</v>
      </c>
      <c r="X2424" s="33" t="str">
        <f>HYPERLINK("https://www.alpinabook.ru/catalog/book-poobeshchay-mne-vesnu","ссылка на книгу")</f>
        <v>ссылка на книгу</v>
      </c>
      <c r="Y2424" s="34" t="str">
        <f>HYPERLINK("https://api-enni.alpina.ru/FilePrivilegesApproval/313","https://api-enni.alpina.ru/FilePrivilegesApproval/313")</f>
        <v>https://api-enni.alpina.ru/FilePrivilegesApproval/313</v>
      </c>
      <c r="Z2424" s="13"/>
      <c r="AT2424" s="1">
        <f t="shared" si="465"/>
        <v>0</v>
      </c>
      <c r="AU2424" s="1">
        <f t="shared" si="466"/>
        <v>0</v>
      </c>
      <c r="AV2424" s="1">
        <f t="shared" si="467"/>
        <v>0</v>
      </c>
      <c r="AW2424" s="1">
        <f t="shared" si="468"/>
        <v>0</v>
      </c>
      <c r="AX2424" s="1">
        <f t="shared" si="469"/>
        <v>0</v>
      </c>
    </row>
    <row r="2425" spans="1:50" s="1" customFormat="1" ht="24.95" customHeight="1" outlineLevel="3" x14ac:dyDescent="0.2">
      <c r="A2425" s="11"/>
      <c r="B2425" s="12">
        <v>490</v>
      </c>
      <c r="C2425" s="12">
        <v>740</v>
      </c>
      <c r="D2425" s="12">
        <v>27780</v>
      </c>
      <c r="E2425" s="13" t="s">
        <v>7905</v>
      </c>
      <c r="F2425" s="13" t="s">
        <v>7906</v>
      </c>
      <c r="G2425" s="13" t="s">
        <v>190</v>
      </c>
      <c r="H2425" s="13" t="s">
        <v>434</v>
      </c>
      <c r="I2425" s="12">
        <v>2025</v>
      </c>
      <c r="J2425" s="13" t="s">
        <v>7907</v>
      </c>
      <c r="K2425" s="12">
        <v>9785961486346</v>
      </c>
      <c r="L2425" s="13" t="s">
        <v>7908</v>
      </c>
      <c r="M2425" s="12">
        <v>336</v>
      </c>
      <c r="N2425" s="14">
        <v>0.3</v>
      </c>
      <c r="O2425" s="12">
        <v>140</v>
      </c>
      <c r="P2425" s="12">
        <v>200</v>
      </c>
      <c r="Q2425" s="12">
        <v>16</v>
      </c>
      <c r="R2425" s="13" t="s">
        <v>43</v>
      </c>
      <c r="S2425" s="13"/>
      <c r="T2425" s="15">
        <v>1500</v>
      </c>
      <c r="U2425" s="13" t="s">
        <v>44</v>
      </c>
      <c r="V2425" s="13" t="s">
        <v>45</v>
      </c>
      <c r="W2425" s="12">
        <v>10</v>
      </c>
      <c r="X2425" s="33" t="str">
        <f>HYPERLINK("https://www.alpinabook.ru/catalog/book-pochetnye-ariyki","ссылка на книгу")</f>
        <v>ссылка на книгу</v>
      </c>
      <c r="Y2425" s="34" t="str">
        <f>HYPERLINK("https://api-enni.alpina.ru/FilePrivilegesApproval/404","https://api-enni.alpina.ru/FilePrivilegesApproval/404")</f>
        <v>https://api-enni.alpina.ru/FilePrivilegesApproval/404</v>
      </c>
      <c r="Z2425" s="13" t="s">
        <v>70</v>
      </c>
      <c r="AT2425" s="1">
        <f t="shared" si="465"/>
        <v>0</v>
      </c>
      <c r="AU2425" s="1">
        <f t="shared" si="466"/>
        <v>0</v>
      </c>
      <c r="AV2425" s="1">
        <f t="shared" si="467"/>
        <v>0</v>
      </c>
      <c r="AW2425" s="1">
        <f t="shared" si="468"/>
        <v>0</v>
      </c>
      <c r="AX2425" s="1">
        <f t="shared" si="469"/>
        <v>0</v>
      </c>
    </row>
    <row r="2426" spans="1:50" s="1" customFormat="1" ht="24.95" customHeight="1" outlineLevel="3" x14ac:dyDescent="0.2">
      <c r="A2426" s="11"/>
      <c r="B2426" s="12">
        <v>390</v>
      </c>
      <c r="C2426" s="12">
        <v>640</v>
      </c>
      <c r="D2426" s="12">
        <v>28010</v>
      </c>
      <c r="E2426" s="13" t="s">
        <v>7898</v>
      </c>
      <c r="F2426" s="13" t="s">
        <v>7909</v>
      </c>
      <c r="G2426" s="13" t="s">
        <v>190</v>
      </c>
      <c r="H2426" s="13" t="s">
        <v>434</v>
      </c>
      <c r="I2426" s="12">
        <v>2024</v>
      </c>
      <c r="J2426" s="13" t="s">
        <v>7910</v>
      </c>
      <c r="K2426" s="12">
        <v>9785961487015</v>
      </c>
      <c r="L2426" s="13" t="s">
        <v>7911</v>
      </c>
      <c r="M2426" s="12">
        <v>280</v>
      </c>
      <c r="N2426" s="14">
        <v>0.33</v>
      </c>
      <c r="O2426" s="12">
        <v>140</v>
      </c>
      <c r="P2426" s="12">
        <v>200</v>
      </c>
      <c r="Q2426" s="12">
        <v>12</v>
      </c>
      <c r="R2426" s="13" t="s">
        <v>43</v>
      </c>
      <c r="S2426" s="13"/>
      <c r="T2426" s="15">
        <v>4000</v>
      </c>
      <c r="U2426" s="13" t="s">
        <v>44</v>
      </c>
      <c r="V2426" s="13" t="s">
        <v>89</v>
      </c>
      <c r="W2426" s="12">
        <v>10</v>
      </c>
      <c r="X2426" s="33" t="str">
        <f>HYPERLINK("https://www.alpinabook.ru/catalog/book-prekrasnaya-kak-reka","ссылка на книгу")</f>
        <v>ссылка на книгу</v>
      </c>
      <c r="Y2426" s="34" t="str">
        <f>HYPERLINK("https://api-enni.alpina.ru/FilePrivilegesApproval/740","https://api-enni.alpina.ru/FilePrivilegesApproval/740")</f>
        <v>https://api-enni.alpina.ru/FilePrivilegesApproval/740</v>
      </c>
      <c r="Z2426" s="13"/>
      <c r="AT2426" s="1">
        <f t="shared" si="465"/>
        <v>0</v>
      </c>
      <c r="AU2426" s="1">
        <f t="shared" si="466"/>
        <v>0</v>
      </c>
      <c r="AV2426" s="1">
        <f t="shared" si="467"/>
        <v>0</v>
      </c>
      <c r="AW2426" s="1">
        <f t="shared" si="468"/>
        <v>0</v>
      </c>
      <c r="AX2426" s="1">
        <f t="shared" si="469"/>
        <v>0</v>
      </c>
    </row>
    <row r="2427" spans="1:50" s="1" customFormat="1" ht="24.95" customHeight="1" outlineLevel="3" x14ac:dyDescent="0.2">
      <c r="A2427" s="11"/>
      <c r="B2427" s="12">
        <v>480</v>
      </c>
      <c r="C2427" s="12">
        <v>740</v>
      </c>
      <c r="D2427" s="12">
        <v>28617</v>
      </c>
      <c r="E2427" s="13" t="s">
        <v>7912</v>
      </c>
      <c r="F2427" s="13" t="s">
        <v>7913</v>
      </c>
      <c r="G2427" s="13" t="s">
        <v>190</v>
      </c>
      <c r="H2427" s="13" t="s">
        <v>40</v>
      </c>
      <c r="I2427" s="12">
        <v>2024</v>
      </c>
      <c r="J2427" s="13" t="s">
        <v>7914</v>
      </c>
      <c r="K2427" s="12">
        <v>9785961489491</v>
      </c>
      <c r="L2427" s="13" t="s">
        <v>7915</v>
      </c>
      <c r="M2427" s="12">
        <v>544</v>
      </c>
      <c r="N2427" s="14">
        <v>0.47</v>
      </c>
      <c r="O2427" s="12">
        <v>140</v>
      </c>
      <c r="P2427" s="12">
        <v>200</v>
      </c>
      <c r="Q2427" s="12">
        <v>10</v>
      </c>
      <c r="R2427" s="13" t="s">
        <v>43</v>
      </c>
      <c r="S2427" s="13"/>
      <c r="T2427" s="15">
        <v>3000</v>
      </c>
      <c r="U2427" s="13" t="s">
        <v>44</v>
      </c>
      <c r="V2427" s="13" t="s">
        <v>45</v>
      </c>
      <c r="W2427" s="12">
        <v>10</v>
      </c>
      <c r="X2427" s="33" t="str">
        <f>HYPERLINK("https://www.alpinabook.ru/catalog/book-pritvoris-vlyublennoy","ссылка на книгу")</f>
        <v>ссылка на книгу</v>
      </c>
      <c r="Y2427" s="34" t="str">
        <f>HYPERLINK("https://api-enni.alpina.ru/FilePrivilegesApproval/380","https://api-enni.alpina.ru/FilePrivilegesApproval/380")</f>
        <v>https://api-enni.alpina.ru/FilePrivilegesApproval/380</v>
      </c>
      <c r="Z2427" s="13"/>
      <c r="AT2427" s="1">
        <f t="shared" si="465"/>
        <v>0</v>
      </c>
      <c r="AU2427" s="1">
        <f t="shared" si="466"/>
        <v>0</v>
      </c>
      <c r="AV2427" s="1">
        <f t="shared" si="467"/>
        <v>0</v>
      </c>
      <c r="AW2427" s="1">
        <f t="shared" si="468"/>
        <v>0</v>
      </c>
      <c r="AX2427" s="1">
        <f t="shared" si="469"/>
        <v>0</v>
      </c>
    </row>
    <row r="2428" spans="1:50" s="1" customFormat="1" ht="24.95" customHeight="1" outlineLevel="3" x14ac:dyDescent="0.2">
      <c r="A2428" s="11"/>
      <c r="B2428" s="12">
        <v>480</v>
      </c>
      <c r="C2428" s="12">
        <v>740</v>
      </c>
      <c r="D2428" s="12">
        <v>28157</v>
      </c>
      <c r="E2428" s="13" t="s">
        <v>7916</v>
      </c>
      <c r="F2428" s="13" t="s">
        <v>7917</v>
      </c>
      <c r="G2428" s="13" t="s">
        <v>190</v>
      </c>
      <c r="H2428" s="13" t="s">
        <v>40</v>
      </c>
      <c r="I2428" s="12">
        <v>2024</v>
      </c>
      <c r="J2428" s="13" t="s">
        <v>7918</v>
      </c>
      <c r="K2428" s="12">
        <v>9785961487442</v>
      </c>
      <c r="L2428" s="13" t="s">
        <v>7919</v>
      </c>
      <c r="M2428" s="12">
        <v>506</v>
      </c>
      <c r="N2428" s="14">
        <v>0.42</v>
      </c>
      <c r="O2428" s="12">
        <v>140</v>
      </c>
      <c r="P2428" s="12">
        <v>200</v>
      </c>
      <c r="Q2428" s="12">
        <v>8</v>
      </c>
      <c r="R2428" s="13" t="s">
        <v>43</v>
      </c>
      <c r="S2428" s="13"/>
      <c r="T2428" s="15">
        <v>3000</v>
      </c>
      <c r="U2428" s="13" t="s">
        <v>44</v>
      </c>
      <c r="V2428" s="13" t="s">
        <v>45</v>
      </c>
      <c r="W2428" s="12">
        <v>10</v>
      </c>
      <c r="X2428" s="33" t="str">
        <f>HYPERLINK("https://www.alpinabook.ru/catalog/book-sekunda-mezhdu-nami","ссылка на книгу")</f>
        <v>ссылка на книгу</v>
      </c>
      <c r="Y2428" s="34" t="str">
        <f>HYPERLINK("https://api-enni.alpina.ru/FilePrivilegesApproval/387","https://api-enni.alpina.ru/FilePrivilegesApproval/387")</f>
        <v>https://api-enni.alpina.ru/FilePrivilegesApproval/387</v>
      </c>
      <c r="Z2428" s="13"/>
      <c r="AT2428" s="1">
        <f t="shared" si="465"/>
        <v>0</v>
      </c>
      <c r="AU2428" s="1">
        <f t="shared" si="466"/>
        <v>0</v>
      </c>
      <c r="AV2428" s="1">
        <f t="shared" si="467"/>
        <v>0</v>
      </c>
      <c r="AW2428" s="1">
        <f t="shared" si="468"/>
        <v>0</v>
      </c>
      <c r="AX2428" s="1">
        <f t="shared" si="469"/>
        <v>0</v>
      </c>
    </row>
    <row r="2429" spans="1:50" s="1" customFormat="1" ht="24.95" customHeight="1" outlineLevel="3" x14ac:dyDescent="0.2">
      <c r="A2429" s="11"/>
      <c r="B2429" s="12">
        <v>340</v>
      </c>
      <c r="C2429" s="12">
        <v>540</v>
      </c>
      <c r="D2429" s="12">
        <v>27703</v>
      </c>
      <c r="E2429" s="13" t="s">
        <v>7920</v>
      </c>
      <c r="F2429" s="13" t="s">
        <v>7921</v>
      </c>
      <c r="G2429" s="13" t="s">
        <v>190</v>
      </c>
      <c r="H2429" s="13" t="s">
        <v>434</v>
      </c>
      <c r="I2429" s="12">
        <v>2024</v>
      </c>
      <c r="J2429" s="13" t="s">
        <v>7922</v>
      </c>
      <c r="K2429" s="12">
        <v>9785961486070</v>
      </c>
      <c r="L2429" s="13" t="s">
        <v>7923</v>
      </c>
      <c r="M2429" s="12">
        <v>192</v>
      </c>
      <c r="N2429" s="14">
        <v>0.23</v>
      </c>
      <c r="O2429" s="12">
        <v>140</v>
      </c>
      <c r="P2429" s="12">
        <v>200</v>
      </c>
      <c r="Q2429" s="12">
        <v>11</v>
      </c>
      <c r="R2429" s="13" t="s">
        <v>43</v>
      </c>
      <c r="S2429" s="13"/>
      <c r="T2429" s="15">
        <v>4000</v>
      </c>
      <c r="U2429" s="13" t="s">
        <v>44</v>
      </c>
      <c r="V2429" s="13" t="s">
        <v>45</v>
      </c>
      <c r="W2429" s="12">
        <v>10</v>
      </c>
      <c r="X2429" s="33" t="str">
        <f>HYPERLINK("https://www.alpinabook.ru/catalog/book-serdtse-adelaidy","ссылка на книгу")</f>
        <v>ссылка на книгу</v>
      </c>
      <c r="Y2429" s="34" t="str">
        <f>HYPERLINK("https://api-enni.alpina.ru/FilePrivilegesApproval/296","https://api-enni.alpina.ru/FilePrivilegesApproval/296")</f>
        <v>https://api-enni.alpina.ru/FilePrivilegesApproval/296</v>
      </c>
      <c r="Z2429" s="13"/>
      <c r="AT2429" s="1">
        <f t="shared" si="465"/>
        <v>0</v>
      </c>
      <c r="AU2429" s="1">
        <f t="shared" si="466"/>
        <v>0</v>
      </c>
      <c r="AV2429" s="1">
        <f t="shared" si="467"/>
        <v>0</v>
      </c>
      <c r="AW2429" s="1">
        <f t="shared" si="468"/>
        <v>0</v>
      </c>
      <c r="AX2429" s="1">
        <f t="shared" si="469"/>
        <v>0</v>
      </c>
    </row>
    <row r="2430" spans="1:50" s="1" customFormat="1" ht="24.95" customHeight="1" outlineLevel="3" x14ac:dyDescent="0.2">
      <c r="A2430" s="11"/>
      <c r="B2430" s="12">
        <v>490</v>
      </c>
      <c r="C2430" s="12">
        <v>740</v>
      </c>
      <c r="D2430" s="12">
        <v>30413</v>
      </c>
      <c r="E2430" s="13" t="s">
        <v>7891</v>
      </c>
      <c r="F2430" s="13" t="s">
        <v>7924</v>
      </c>
      <c r="G2430" s="13" t="s">
        <v>190</v>
      </c>
      <c r="H2430" s="13" t="s">
        <v>434</v>
      </c>
      <c r="I2430" s="12">
        <v>2025</v>
      </c>
      <c r="J2430" s="13" t="s">
        <v>7925</v>
      </c>
      <c r="K2430" s="12">
        <v>9785961495447</v>
      </c>
      <c r="L2430" s="13" t="s">
        <v>7926</v>
      </c>
      <c r="M2430" s="12">
        <v>324</v>
      </c>
      <c r="N2430" s="14">
        <v>0.27</v>
      </c>
      <c r="O2430" s="12">
        <v>140</v>
      </c>
      <c r="P2430" s="12">
        <v>200</v>
      </c>
      <c r="Q2430" s="12">
        <v>10</v>
      </c>
      <c r="R2430" s="13" t="s">
        <v>43</v>
      </c>
      <c r="S2430" s="13"/>
      <c r="T2430" s="15">
        <v>2000</v>
      </c>
      <c r="U2430" s="13" t="s">
        <v>44</v>
      </c>
      <c r="V2430" s="13" t="s">
        <v>45</v>
      </c>
      <c r="W2430" s="12">
        <v>10</v>
      </c>
      <c r="X2430" s="33" t="str">
        <f>HYPERLINK("https://www.alpinabook.ru/catalog/book-summa-nashikh-zhizney","ссылка на книгу")</f>
        <v>ссылка на книгу</v>
      </c>
      <c r="Y2430" s="34" t="str">
        <f>HYPERLINK("https://api-enni.alpina.ru/FilePrivilegesApproval/759","https://api-enni.alpina.ru/FilePrivilegesApproval/759")</f>
        <v>https://api-enni.alpina.ru/FilePrivilegesApproval/759</v>
      </c>
      <c r="Z2430" s="13" t="s">
        <v>277</v>
      </c>
      <c r="AT2430" s="1">
        <f t="shared" si="465"/>
        <v>0</v>
      </c>
      <c r="AU2430" s="1">
        <f t="shared" si="466"/>
        <v>0</v>
      </c>
      <c r="AV2430" s="1">
        <f t="shared" si="467"/>
        <v>0</v>
      </c>
      <c r="AW2430" s="1">
        <f t="shared" si="468"/>
        <v>0</v>
      </c>
      <c r="AX2430" s="1">
        <f t="shared" si="469"/>
        <v>0</v>
      </c>
    </row>
    <row r="2431" spans="1:50" s="1" customFormat="1" ht="24.95" customHeight="1" outlineLevel="3" x14ac:dyDescent="0.2">
      <c r="A2431" s="11"/>
      <c r="B2431" s="12">
        <v>490</v>
      </c>
      <c r="C2431" s="12">
        <v>640</v>
      </c>
      <c r="D2431" s="12">
        <v>27481</v>
      </c>
      <c r="E2431" s="13" t="s">
        <v>7927</v>
      </c>
      <c r="F2431" s="13" t="s">
        <v>7928</v>
      </c>
      <c r="G2431" s="13" t="s">
        <v>190</v>
      </c>
      <c r="H2431" s="13" t="s">
        <v>434</v>
      </c>
      <c r="I2431" s="12">
        <v>2024</v>
      </c>
      <c r="J2431" s="13" t="s">
        <v>7929</v>
      </c>
      <c r="K2431" s="12">
        <v>9785961485301</v>
      </c>
      <c r="L2431" s="13" t="s">
        <v>7930</v>
      </c>
      <c r="M2431" s="12">
        <v>348</v>
      </c>
      <c r="N2431" s="14">
        <v>0.41</v>
      </c>
      <c r="O2431" s="12">
        <v>140</v>
      </c>
      <c r="P2431" s="12">
        <v>200</v>
      </c>
      <c r="Q2431" s="12">
        <v>10</v>
      </c>
      <c r="R2431" s="13" t="s">
        <v>43</v>
      </c>
      <c r="S2431" s="13"/>
      <c r="T2431" s="15">
        <v>3800</v>
      </c>
      <c r="U2431" s="13" t="s">
        <v>44</v>
      </c>
      <c r="V2431" s="13" t="s">
        <v>45</v>
      </c>
      <c r="W2431" s="12">
        <v>10</v>
      </c>
      <c r="X2431" s="33" t="str">
        <f>HYPERLINK("https://www.alpinabook.ru/catalog/book-chem-zvezdy-obyazany-nochi","ссылка на книгу")</f>
        <v>ссылка на книгу</v>
      </c>
      <c r="Y2431" s="34" t="str">
        <f>HYPERLINK("https://api-enni.alpina.ru/FilePrivilegesApproval/380","https://api-enni.alpina.ru/FilePrivilegesApproval/380")</f>
        <v>https://api-enni.alpina.ru/FilePrivilegesApproval/380</v>
      </c>
      <c r="Z2431" s="13"/>
      <c r="AT2431" s="1">
        <f t="shared" si="465"/>
        <v>0</v>
      </c>
      <c r="AU2431" s="1">
        <f t="shared" si="466"/>
        <v>0</v>
      </c>
      <c r="AV2431" s="1">
        <f t="shared" si="467"/>
        <v>0</v>
      </c>
      <c r="AW2431" s="1">
        <f t="shared" si="468"/>
        <v>0</v>
      </c>
      <c r="AX2431" s="1">
        <f t="shared" si="469"/>
        <v>0</v>
      </c>
    </row>
    <row r="2432" spans="1:50" s="1" customFormat="1" ht="24.95" customHeight="1" outlineLevel="3" x14ac:dyDescent="0.2">
      <c r="A2432" s="11"/>
      <c r="B2432" s="12">
        <v>440</v>
      </c>
      <c r="C2432" s="12">
        <v>690</v>
      </c>
      <c r="D2432" s="12">
        <v>27959</v>
      </c>
      <c r="E2432" s="13" t="s">
        <v>7887</v>
      </c>
      <c r="F2432" s="13" t="s">
        <v>7931</v>
      </c>
      <c r="G2432" s="13" t="s">
        <v>190</v>
      </c>
      <c r="H2432" s="13" t="s">
        <v>236</v>
      </c>
      <c r="I2432" s="12">
        <v>2025</v>
      </c>
      <c r="J2432" s="13" t="s">
        <v>7932</v>
      </c>
      <c r="K2432" s="12">
        <v>9785961486926</v>
      </c>
      <c r="L2432" s="13" t="s">
        <v>7933</v>
      </c>
      <c r="M2432" s="12">
        <v>312</v>
      </c>
      <c r="N2432" s="14">
        <v>0.36</v>
      </c>
      <c r="O2432" s="12">
        <v>140</v>
      </c>
      <c r="P2432" s="12">
        <v>200</v>
      </c>
      <c r="Q2432" s="12">
        <v>12</v>
      </c>
      <c r="R2432" s="13" t="s">
        <v>43</v>
      </c>
      <c r="S2432" s="13"/>
      <c r="T2432" s="15">
        <v>2000</v>
      </c>
      <c r="U2432" s="13" t="s">
        <v>44</v>
      </c>
      <c r="V2432" s="13" t="s">
        <v>45</v>
      </c>
      <c r="W2432" s="12">
        <v>10</v>
      </c>
      <c r="X2432" s="33" t="str">
        <f>HYPERLINK("https://www.alpinabook.ru/catalog/book-shveya-s-sardinii","ссылка на книгу")</f>
        <v>ссылка на книгу</v>
      </c>
      <c r="Y2432" s="34" t="str">
        <f>HYPERLINK("https://api-enni.alpina.ru/FilePrivilegesApproval/313","https://api-enni.alpina.ru/FilePrivilegesApproval/313")</f>
        <v>https://api-enni.alpina.ru/FilePrivilegesApproval/313</v>
      </c>
      <c r="Z2432" s="13"/>
      <c r="AT2432" s="1">
        <f t="shared" si="465"/>
        <v>0</v>
      </c>
      <c r="AU2432" s="1">
        <f t="shared" si="466"/>
        <v>0</v>
      </c>
      <c r="AV2432" s="1">
        <f t="shared" si="467"/>
        <v>0</v>
      </c>
      <c r="AW2432" s="1">
        <f t="shared" si="468"/>
        <v>0</v>
      </c>
      <c r="AX2432" s="1">
        <f t="shared" si="469"/>
        <v>0</v>
      </c>
    </row>
    <row r="2433" spans="1:50" s="1" customFormat="1" ht="24.95" customHeight="1" outlineLevel="3" x14ac:dyDescent="0.2">
      <c r="A2433" s="11"/>
      <c r="B2433" s="12">
        <v>480</v>
      </c>
      <c r="C2433" s="12">
        <v>690</v>
      </c>
      <c r="D2433" s="12">
        <v>28818</v>
      </c>
      <c r="E2433" s="13" t="s">
        <v>7934</v>
      </c>
      <c r="F2433" s="13" t="s">
        <v>7935</v>
      </c>
      <c r="G2433" s="13" t="s">
        <v>190</v>
      </c>
      <c r="H2433" s="13" t="s">
        <v>434</v>
      </c>
      <c r="I2433" s="12">
        <v>2024</v>
      </c>
      <c r="J2433" s="13" t="s">
        <v>7936</v>
      </c>
      <c r="K2433" s="12">
        <v>9785961490169</v>
      </c>
      <c r="L2433" s="13" t="s">
        <v>7937</v>
      </c>
      <c r="M2433" s="12">
        <v>384</v>
      </c>
      <c r="N2433" s="14">
        <v>0.31</v>
      </c>
      <c r="O2433" s="12">
        <v>140</v>
      </c>
      <c r="P2433" s="12">
        <v>200</v>
      </c>
      <c r="Q2433" s="12">
        <v>10</v>
      </c>
      <c r="R2433" s="13" t="s">
        <v>43</v>
      </c>
      <c r="S2433" s="13"/>
      <c r="T2433" s="15">
        <v>3000</v>
      </c>
      <c r="U2433" s="13" t="s">
        <v>44</v>
      </c>
      <c r="V2433" s="13" t="s">
        <v>45</v>
      </c>
      <c r="W2433" s="12">
        <v>10</v>
      </c>
      <c r="X2433" s="33" t="str">
        <f>HYPERLINK("https://www.alpinabook.ru/catalog/book-ya-vozvrashchayus-k-sebe","ссылка на книгу")</f>
        <v>ссылка на книгу</v>
      </c>
      <c r="Y2433" s="34" t="str">
        <f>HYPERLINK("https://api-enni.alpina.ru/FilePrivilegesApproval/395","https://api-enni.alpina.ru/FilePrivilegesApproval/395")</f>
        <v>https://api-enni.alpina.ru/FilePrivilegesApproval/395</v>
      </c>
      <c r="Z2433" s="13"/>
      <c r="AT2433" s="1">
        <f t="shared" si="465"/>
        <v>0</v>
      </c>
      <c r="AU2433" s="1">
        <f t="shared" si="466"/>
        <v>0</v>
      </c>
      <c r="AV2433" s="1">
        <f t="shared" si="467"/>
        <v>0</v>
      </c>
      <c r="AW2433" s="1">
        <f t="shared" si="468"/>
        <v>0</v>
      </c>
      <c r="AX2433" s="1">
        <f t="shared" si="469"/>
        <v>0</v>
      </c>
    </row>
    <row r="2434" spans="1:50" s="1" customFormat="1" ht="24.95" customHeight="1" outlineLevel="3" x14ac:dyDescent="0.2">
      <c r="A2434" s="11"/>
      <c r="B2434" s="12">
        <v>340</v>
      </c>
      <c r="C2434" s="12">
        <v>540</v>
      </c>
      <c r="D2434" s="12">
        <v>27508</v>
      </c>
      <c r="E2434" s="13" t="s">
        <v>7938</v>
      </c>
      <c r="F2434" s="13" t="s">
        <v>7939</v>
      </c>
      <c r="G2434" s="13" t="s">
        <v>190</v>
      </c>
      <c r="H2434" s="13" t="s">
        <v>434</v>
      </c>
      <c r="I2434" s="12">
        <v>2024</v>
      </c>
      <c r="J2434" s="13" t="s">
        <v>7940</v>
      </c>
      <c r="K2434" s="12">
        <v>9785961485424</v>
      </c>
      <c r="L2434" s="13" t="s">
        <v>7941</v>
      </c>
      <c r="M2434" s="12">
        <v>168</v>
      </c>
      <c r="N2434" s="14">
        <v>0.2</v>
      </c>
      <c r="O2434" s="12">
        <v>140</v>
      </c>
      <c r="P2434" s="12">
        <v>200</v>
      </c>
      <c r="Q2434" s="12">
        <v>14</v>
      </c>
      <c r="R2434" s="13" t="s">
        <v>43</v>
      </c>
      <c r="S2434" s="13"/>
      <c r="T2434" s="15">
        <v>4000</v>
      </c>
      <c r="U2434" s="13" t="s">
        <v>44</v>
      </c>
      <c r="V2434" s="13" t="s">
        <v>45</v>
      </c>
      <c r="W2434" s="12">
        <v>10</v>
      </c>
      <c r="X2434" s="33" t="str">
        <f>HYPERLINK("https://www.alpinabook.ru/catalog/book-ya-dolzhna-koe-chto-tebe-skazat","ссылка на книгу")</f>
        <v>ссылка на книгу</v>
      </c>
      <c r="Y2434" s="34" t="str">
        <f>HYPERLINK("https://api-enni.alpina.ru/FilePrivilegesApproval/296","https://api-enni.alpina.ru/FilePrivilegesApproval/296")</f>
        <v>https://api-enni.alpina.ru/FilePrivilegesApproval/296</v>
      </c>
      <c r="Z2434" s="13"/>
      <c r="AT2434" s="1">
        <f t="shared" si="465"/>
        <v>0</v>
      </c>
      <c r="AU2434" s="1">
        <f t="shared" si="466"/>
        <v>0</v>
      </c>
      <c r="AV2434" s="1">
        <f t="shared" si="467"/>
        <v>0</v>
      </c>
      <c r="AW2434" s="1">
        <f t="shared" si="468"/>
        <v>0</v>
      </c>
      <c r="AX2434" s="1">
        <f t="shared" si="469"/>
        <v>0</v>
      </c>
    </row>
    <row r="2435" spans="1:50" s="1" customFormat="1" ht="24.95" customHeight="1" outlineLevel="3" x14ac:dyDescent="0.2">
      <c r="A2435" s="11"/>
      <c r="B2435" s="12">
        <v>480</v>
      </c>
      <c r="C2435" s="12">
        <v>740</v>
      </c>
      <c r="D2435" s="12">
        <v>27483</v>
      </c>
      <c r="E2435" s="13" t="s">
        <v>7927</v>
      </c>
      <c r="F2435" s="13" t="s">
        <v>7942</v>
      </c>
      <c r="G2435" s="13" t="s">
        <v>190</v>
      </c>
      <c r="H2435" s="13" t="s">
        <v>434</v>
      </c>
      <c r="I2435" s="12">
        <v>2025</v>
      </c>
      <c r="J2435" s="13" t="s">
        <v>7943</v>
      </c>
      <c r="K2435" s="12">
        <v>9785961485332</v>
      </c>
      <c r="L2435" s="13" t="s">
        <v>7944</v>
      </c>
      <c r="M2435" s="12">
        <v>334</v>
      </c>
      <c r="N2435" s="14">
        <v>0.39</v>
      </c>
      <c r="O2435" s="12">
        <v>140</v>
      </c>
      <c r="P2435" s="12">
        <v>200</v>
      </c>
      <c r="Q2435" s="12">
        <v>10</v>
      </c>
      <c r="R2435" s="13" t="s">
        <v>43</v>
      </c>
      <c r="S2435" s="13"/>
      <c r="T2435" s="15">
        <v>2000</v>
      </c>
      <c r="U2435" s="13" t="s">
        <v>44</v>
      </c>
      <c r="V2435" s="13" t="s">
        <v>45</v>
      </c>
      <c r="W2435" s="12">
        <v>10</v>
      </c>
      <c r="X2435" s="33" t="str">
        <f>HYPERLINK("https://www.alpinabook.ru/catalog/book-ya-pomnyu-muzyku-provansa","ссылка на книгу")</f>
        <v>ссылка на книгу</v>
      </c>
      <c r="Y2435" s="34" t="str">
        <f>HYPERLINK("https://api-enni.alpina.ru/FilePrivilegesApproval/351","https://api-enni.alpina.ru/FilePrivilegesApproval/351")</f>
        <v>https://api-enni.alpina.ru/FilePrivilegesApproval/351</v>
      </c>
      <c r="Z2435" s="13" t="s">
        <v>321</v>
      </c>
      <c r="AT2435" s="1">
        <f t="shared" si="465"/>
        <v>0</v>
      </c>
      <c r="AU2435" s="1">
        <f t="shared" si="466"/>
        <v>0</v>
      </c>
      <c r="AV2435" s="1">
        <f t="shared" si="467"/>
        <v>0</v>
      </c>
      <c r="AW2435" s="1">
        <f t="shared" si="468"/>
        <v>0</v>
      </c>
      <c r="AX2435" s="1">
        <f t="shared" si="469"/>
        <v>0</v>
      </c>
    </row>
    <row r="2436" spans="1:50" ht="11.1" customHeight="1" outlineLevel="2" x14ac:dyDescent="0.2">
      <c r="A2436" s="40" t="s">
        <v>7945</v>
      </c>
      <c r="B2436" s="40"/>
      <c r="C2436" s="40"/>
      <c r="D2436" s="40"/>
      <c r="E2436" s="40"/>
      <c r="F2436" s="40"/>
      <c r="G2436" s="40"/>
      <c r="H2436" s="40"/>
      <c r="I2436" s="40"/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20"/>
    </row>
    <row r="2437" spans="1:50" s="1" customFormat="1" ht="21.95" customHeight="1" outlineLevel="3" x14ac:dyDescent="0.2">
      <c r="A2437" s="11"/>
      <c r="B2437" s="12">
        <v>690</v>
      </c>
      <c r="C2437" s="12">
        <v>990</v>
      </c>
      <c r="D2437" s="12">
        <v>28412</v>
      </c>
      <c r="E2437" s="13" t="s">
        <v>7167</v>
      </c>
      <c r="F2437" s="13" t="s">
        <v>7946</v>
      </c>
      <c r="G2437" s="13" t="s">
        <v>163</v>
      </c>
      <c r="H2437" s="13" t="s">
        <v>40</v>
      </c>
      <c r="I2437" s="12">
        <v>2024</v>
      </c>
      <c r="J2437" s="13" t="s">
        <v>7947</v>
      </c>
      <c r="K2437" s="12">
        <v>9785961488838</v>
      </c>
      <c r="L2437" s="13" t="s">
        <v>7948</v>
      </c>
      <c r="M2437" s="12">
        <v>512</v>
      </c>
      <c r="N2437" s="14">
        <v>0.49</v>
      </c>
      <c r="O2437" s="12">
        <v>140</v>
      </c>
      <c r="P2437" s="12">
        <v>210</v>
      </c>
      <c r="Q2437" s="12">
        <v>4</v>
      </c>
      <c r="R2437" s="13" t="s">
        <v>82</v>
      </c>
      <c r="S2437" s="13"/>
      <c r="T2437" s="15">
        <v>3000</v>
      </c>
      <c r="U2437" s="13" t="s">
        <v>52</v>
      </c>
      <c r="V2437" s="13" t="s">
        <v>59</v>
      </c>
      <c r="W2437" s="12">
        <v>10</v>
      </c>
      <c r="X2437" s="33" t="str">
        <f>HYPERLINK("https://www.alpinabook.ru/catalog/book-13-proklyatiy","ссылка на книгу")</f>
        <v>ссылка на книгу</v>
      </c>
      <c r="Y2437" s="34" t="str">
        <f>HYPERLINK("","")</f>
        <v/>
      </c>
      <c r="Z2437" s="13"/>
      <c r="AT2437" s="1">
        <f t="shared" ref="AT2437:AT2468" si="470">IF($A2437&lt;&gt;0,1,0)</f>
        <v>0</v>
      </c>
      <c r="AU2437" s="1">
        <f t="shared" ref="AU2437:AU2468" si="471">$A2437*$B2437</f>
        <v>0</v>
      </c>
      <c r="AV2437" s="1">
        <f t="shared" ref="AV2437:AV2468" si="472">$A2437*$N2437</f>
        <v>0</v>
      </c>
      <c r="AW2437" s="1">
        <f t="shared" ref="AW2437:AW2468" si="473">IF($Q2437=0,0,INT($A2437/$Q2437))</f>
        <v>0</v>
      </c>
      <c r="AX2437" s="1">
        <f t="shared" ref="AX2437:AX2468" si="474">$A2437-$AW2437*$Q2437</f>
        <v>0</v>
      </c>
    </row>
    <row r="2438" spans="1:50" s="1" customFormat="1" ht="24.95" customHeight="1" outlineLevel="3" x14ac:dyDescent="0.2">
      <c r="A2438" s="11"/>
      <c r="B2438" s="12">
        <v>690</v>
      </c>
      <c r="C2438" s="12">
        <v>990</v>
      </c>
      <c r="D2438" s="12">
        <v>28413</v>
      </c>
      <c r="E2438" s="13" t="s">
        <v>7167</v>
      </c>
      <c r="F2438" s="13" t="s">
        <v>7949</v>
      </c>
      <c r="G2438" s="13" t="s">
        <v>163</v>
      </c>
      <c r="H2438" s="13" t="s">
        <v>40</v>
      </c>
      <c r="I2438" s="12">
        <v>2024</v>
      </c>
      <c r="J2438" s="13" t="s">
        <v>7950</v>
      </c>
      <c r="K2438" s="12">
        <v>9785961488845</v>
      </c>
      <c r="L2438" s="13" t="s">
        <v>7951</v>
      </c>
      <c r="M2438" s="12">
        <v>432</v>
      </c>
      <c r="N2438" s="14">
        <v>0.44</v>
      </c>
      <c r="O2438" s="12">
        <v>140</v>
      </c>
      <c r="P2438" s="12">
        <v>210</v>
      </c>
      <c r="Q2438" s="12">
        <v>4</v>
      </c>
      <c r="R2438" s="13" t="s">
        <v>82</v>
      </c>
      <c r="S2438" s="13"/>
      <c r="T2438" s="15">
        <v>3000</v>
      </c>
      <c r="U2438" s="13" t="s">
        <v>52</v>
      </c>
      <c r="V2438" s="13" t="s">
        <v>59</v>
      </c>
      <c r="W2438" s="12">
        <v>10</v>
      </c>
      <c r="X2438" s="33" t="str">
        <f>HYPERLINK("https://www.alpinabook.ru/catalog/book-13-sekretov","ссылка на книгу")</f>
        <v>ссылка на книгу</v>
      </c>
      <c r="Y2438" s="34" t="str">
        <f>HYPERLINK("https://api-enni.alpina.ru/FileCertificateProject/648","https://api-enni.alpina.ru/FileCertificateProject/648")</f>
        <v>https://api-enni.alpina.ru/FileCertificateProject/648</v>
      </c>
      <c r="Z2438" s="13"/>
      <c r="AT2438" s="1">
        <f t="shared" si="470"/>
        <v>0</v>
      </c>
      <c r="AU2438" s="1">
        <f t="shared" si="471"/>
        <v>0</v>
      </c>
      <c r="AV2438" s="1">
        <f t="shared" si="472"/>
        <v>0</v>
      </c>
      <c r="AW2438" s="1">
        <f t="shared" si="473"/>
        <v>0</v>
      </c>
      <c r="AX2438" s="1">
        <f t="shared" si="474"/>
        <v>0</v>
      </c>
    </row>
    <row r="2439" spans="1:50" s="1" customFormat="1" ht="21.95" customHeight="1" outlineLevel="3" x14ac:dyDescent="0.2">
      <c r="A2439" s="11"/>
      <c r="B2439" s="12">
        <v>690</v>
      </c>
      <c r="C2439" s="12">
        <v>990</v>
      </c>
      <c r="D2439" s="12">
        <v>28411</v>
      </c>
      <c r="E2439" s="13" t="s">
        <v>7167</v>
      </c>
      <c r="F2439" s="13" t="s">
        <v>7952</v>
      </c>
      <c r="G2439" s="13" t="s">
        <v>163</v>
      </c>
      <c r="H2439" s="13" t="s">
        <v>40</v>
      </c>
      <c r="I2439" s="12">
        <v>2024</v>
      </c>
      <c r="J2439" s="13" t="s">
        <v>7953</v>
      </c>
      <c r="K2439" s="12">
        <v>9785961488821</v>
      </c>
      <c r="L2439" s="13" t="s">
        <v>7954</v>
      </c>
      <c r="M2439" s="12">
        <v>352</v>
      </c>
      <c r="N2439" s="14">
        <v>0.37</v>
      </c>
      <c r="O2439" s="12">
        <v>130</v>
      </c>
      <c r="P2439" s="12">
        <v>210</v>
      </c>
      <c r="Q2439" s="12">
        <v>5</v>
      </c>
      <c r="R2439" s="13" t="s">
        <v>82</v>
      </c>
      <c r="S2439" s="13"/>
      <c r="T2439" s="15">
        <v>3000</v>
      </c>
      <c r="U2439" s="13" t="s">
        <v>52</v>
      </c>
      <c r="V2439" s="13" t="s">
        <v>59</v>
      </c>
      <c r="W2439" s="12">
        <v>10</v>
      </c>
      <c r="X2439" s="33" t="str">
        <f>HYPERLINK("https://www.alpinabook.ru/catalog/book-13-sokrovishch","ссылка на книгу")</f>
        <v>ссылка на книгу</v>
      </c>
      <c r="Y2439" s="34" t="str">
        <f>HYPERLINK("","")</f>
        <v/>
      </c>
      <c r="Z2439" s="13"/>
      <c r="AT2439" s="1">
        <f t="shared" si="470"/>
        <v>0</v>
      </c>
      <c r="AU2439" s="1">
        <f t="shared" si="471"/>
        <v>0</v>
      </c>
      <c r="AV2439" s="1">
        <f t="shared" si="472"/>
        <v>0</v>
      </c>
      <c r="AW2439" s="1">
        <f t="shared" si="473"/>
        <v>0</v>
      </c>
      <c r="AX2439" s="1">
        <f t="shared" si="474"/>
        <v>0</v>
      </c>
    </row>
    <row r="2440" spans="1:50" s="1" customFormat="1" ht="24.95" customHeight="1" outlineLevel="3" x14ac:dyDescent="0.2">
      <c r="A2440" s="11"/>
      <c r="B2440" s="12">
        <v>390</v>
      </c>
      <c r="C2440" s="12">
        <v>390</v>
      </c>
      <c r="D2440" s="12">
        <v>27024</v>
      </c>
      <c r="E2440" s="13" t="s">
        <v>7955</v>
      </c>
      <c r="F2440" s="13" t="s">
        <v>7956</v>
      </c>
      <c r="G2440" s="13" t="s">
        <v>163</v>
      </c>
      <c r="H2440" s="13"/>
      <c r="I2440" s="12">
        <v>2023</v>
      </c>
      <c r="J2440" s="13" t="s">
        <v>7957</v>
      </c>
      <c r="K2440" s="12">
        <v>9785961483772</v>
      </c>
      <c r="L2440" s="13" t="s">
        <v>7958</v>
      </c>
      <c r="M2440" s="12">
        <v>144</v>
      </c>
      <c r="N2440" s="14">
        <v>0.16</v>
      </c>
      <c r="O2440" s="12">
        <v>125</v>
      </c>
      <c r="P2440" s="12">
        <v>200</v>
      </c>
      <c r="Q2440" s="12">
        <v>30</v>
      </c>
      <c r="R2440" s="13" t="s">
        <v>82</v>
      </c>
      <c r="S2440" s="13" t="s">
        <v>5925</v>
      </c>
      <c r="T2440" s="15">
        <v>2000</v>
      </c>
      <c r="U2440" s="13" t="s">
        <v>44</v>
      </c>
      <c r="V2440" s="13" t="s">
        <v>59</v>
      </c>
      <c r="W2440" s="12">
        <v>10</v>
      </c>
      <c r="X2440" s="33" t="str">
        <f>HYPERLINK("https://www.alpinabook.ru/catalog/book-brat-drakona","ссылка на книгу")</f>
        <v>ссылка на книгу</v>
      </c>
      <c r="Y2440" s="34" t="str">
        <f>HYPERLINK("https://api-enni.alpina.ru/FileCertificateProject/58","https://api-enni.alpina.ru/FileCertificateProject/58")</f>
        <v>https://api-enni.alpina.ru/FileCertificateProject/58</v>
      </c>
      <c r="Z2440" s="13"/>
      <c r="AT2440" s="1">
        <f t="shared" si="470"/>
        <v>0</v>
      </c>
      <c r="AU2440" s="1">
        <f t="shared" si="471"/>
        <v>0</v>
      </c>
      <c r="AV2440" s="1">
        <f t="shared" si="472"/>
        <v>0</v>
      </c>
      <c r="AW2440" s="1">
        <f t="shared" si="473"/>
        <v>0</v>
      </c>
      <c r="AX2440" s="1">
        <f t="shared" si="474"/>
        <v>0</v>
      </c>
    </row>
    <row r="2441" spans="1:50" s="1" customFormat="1" ht="24.95" customHeight="1" outlineLevel="3" x14ac:dyDescent="0.2">
      <c r="A2441" s="11"/>
      <c r="B2441" s="12">
        <v>550</v>
      </c>
      <c r="C2441" s="12">
        <v>790</v>
      </c>
      <c r="D2441" s="12">
        <v>23810</v>
      </c>
      <c r="E2441" s="13" t="s">
        <v>7959</v>
      </c>
      <c r="F2441" s="13" t="s">
        <v>7960</v>
      </c>
      <c r="G2441" s="13" t="s">
        <v>163</v>
      </c>
      <c r="H2441" s="13" t="s">
        <v>40</v>
      </c>
      <c r="I2441" s="12">
        <v>2023</v>
      </c>
      <c r="J2441" s="13" t="s">
        <v>7961</v>
      </c>
      <c r="K2441" s="12">
        <v>9785961473612</v>
      </c>
      <c r="L2441" s="13" t="s">
        <v>7962</v>
      </c>
      <c r="M2441" s="12">
        <v>384</v>
      </c>
      <c r="N2441" s="14">
        <v>0.38</v>
      </c>
      <c r="O2441" s="12">
        <v>130</v>
      </c>
      <c r="P2441" s="12">
        <v>206</v>
      </c>
      <c r="Q2441" s="12">
        <v>12</v>
      </c>
      <c r="R2441" s="13" t="s">
        <v>82</v>
      </c>
      <c r="S2441" s="13"/>
      <c r="T2441" s="15">
        <v>2000</v>
      </c>
      <c r="U2441" s="13" t="s">
        <v>52</v>
      </c>
      <c r="V2441" s="13" t="s">
        <v>59</v>
      </c>
      <c r="W2441" s="12">
        <v>10</v>
      </c>
      <c r="X2441" s="33" t="str">
        <f>HYPERLINK("https://www.alpinabook.ru/catalog/book-vedma","ссылка на книгу")</f>
        <v>ссылка на книгу</v>
      </c>
      <c r="Y2441" s="34" t="str">
        <f>HYPERLINK("https://api-enni.alpina.ru/FileCertificateProject/210","https://api-enni.alpina.ru/FileCertificateProject/210")</f>
        <v>https://api-enni.alpina.ru/FileCertificateProject/210</v>
      </c>
      <c r="Z2441" s="13"/>
      <c r="AT2441" s="1">
        <f t="shared" si="470"/>
        <v>0</v>
      </c>
      <c r="AU2441" s="1">
        <f t="shared" si="471"/>
        <v>0</v>
      </c>
      <c r="AV2441" s="1">
        <f t="shared" si="472"/>
        <v>0</v>
      </c>
      <c r="AW2441" s="1">
        <f t="shared" si="473"/>
        <v>0</v>
      </c>
      <c r="AX2441" s="1">
        <f t="shared" si="474"/>
        <v>0</v>
      </c>
    </row>
    <row r="2442" spans="1:50" s="1" customFormat="1" ht="24.95" customHeight="1" outlineLevel="3" x14ac:dyDescent="0.2">
      <c r="A2442" s="11"/>
      <c r="B2442" s="12">
        <v>420</v>
      </c>
      <c r="C2442" s="12">
        <v>640</v>
      </c>
      <c r="D2442" s="12">
        <v>30091</v>
      </c>
      <c r="E2442" s="13" t="s">
        <v>7959</v>
      </c>
      <c r="F2442" s="13" t="s">
        <v>7960</v>
      </c>
      <c r="G2442" s="13" t="s">
        <v>121</v>
      </c>
      <c r="H2442" s="13" t="s">
        <v>40</v>
      </c>
      <c r="I2442" s="12">
        <v>2024</v>
      </c>
      <c r="J2442" s="13" t="s">
        <v>7963</v>
      </c>
      <c r="K2442" s="12">
        <v>9785961494754</v>
      </c>
      <c r="L2442" s="13" t="s">
        <v>7964</v>
      </c>
      <c r="M2442" s="12">
        <v>352</v>
      </c>
      <c r="N2442" s="14">
        <v>0.34</v>
      </c>
      <c r="O2442" s="12">
        <v>140</v>
      </c>
      <c r="P2442" s="12">
        <v>210</v>
      </c>
      <c r="Q2442" s="12">
        <v>5</v>
      </c>
      <c r="R2442" s="13" t="s">
        <v>43</v>
      </c>
      <c r="S2442" s="13"/>
      <c r="T2442" s="15">
        <v>5000</v>
      </c>
      <c r="U2442" s="13" t="s">
        <v>44</v>
      </c>
      <c r="V2442" s="13" t="s">
        <v>45</v>
      </c>
      <c r="W2442" s="12">
        <v>10</v>
      </c>
      <c r="X2442" s="33" t="str">
        <f>HYPERLINK("https://www.alpinabook.ru/catalog/book-vedma-mmbooks","ссылка на книгу")</f>
        <v>ссылка на книгу</v>
      </c>
      <c r="Y2442" s="34" t="str">
        <f>HYPERLINK("https://api-enni.alpina.ru/FilePrivilegesApproval/350","https://api-enni.alpina.ru/FilePrivilegesApproval/350")</f>
        <v>https://api-enni.alpina.ru/FilePrivilegesApproval/350</v>
      </c>
      <c r="Z2442" s="13"/>
      <c r="AT2442" s="1">
        <f t="shared" si="470"/>
        <v>0</v>
      </c>
      <c r="AU2442" s="1">
        <f t="shared" si="471"/>
        <v>0</v>
      </c>
      <c r="AV2442" s="1">
        <f t="shared" si="472"/>
        <v>0</v>
      </c>
      <c r="AW2442" s="1">
        <f t="shared" si="473"/>
        <v>0</v>
      </c>
      <c r="AX2442" s="1">
        <f t="shared" si="474"/>
        <v>0</v>
      </c>
    </row>
    <row r="2443" spans="1:50" s="1" customFormat="1" ht="24.95" customHeight="1" outlineLevel="3" x14ac:dyDescent="0.2">
      <c r="A2443" s="11"/>
      <c r="B2443" s="12">
        <v>750</v>
      </c>
      <c r="C2443" s="15">
        <v>1090</v>
      </c>
      <c r="D2443" s="12">
        <v>27025</v>
      </c>
      <c r="E2443" s="13" t="s">
        <v>7167</v>
      </c>
      <c r="F2443" s="13" t="s">
        <v>7965</v>
      </c>
      <c r="G2443" s="13" t="s">
        <v>163</v>
      </c>
      <c r="H2443" s="13" t="s">
        <v>40</v>
      </c>
      <c r="I2443" s="12">
        <v>2023</v>
      </c>
      <c r="J2443" s="13" t="s">
        <v>7966</v>
      </c>
      <c r="K2443" s="12">
        <v>9785961483789</v>
      </c>
      <c r="L2443" s="13" t="s">
        <v>7967</v>
      </c>
      <c r="M2443" s="12">
        <v>384</v>
      </c>
      <c r="N2443" s="14">
        <v>0.38</v>
      </c>
      <c r="O2443" s="12">
        <v>130</v>
      </c>
      <c r="P2443" s="12">
        <v>210</v>
      </c>
      <c r="Q2443" s="12">
        <v>5</v>
      </c>
      <c r="R2443" s="13" t="s">
        <v>82</v>
      </c>
      <c r="S2443" s="13" t="s">
        <v>5925</v>
      </c>
      <c r="T2443" s="15">
        <v>3000</v>
      </c>
      <c r="U2443" s="13" t="s">
        <v>52</v>
      </c>
      <c r="V2443" s="13" t="s">
        <v>59</v>
      </c>
      <c r="W2443" s="12">
        <v>10</v>
      </c>
      <c r="X2443" s="33" t="str">
        <f>HYPERLINK("https://www.alpinabook.ru/catalog/book-vikhr-koldovstva","ссылка на книгу")</f>
        <v>ссылка на книгу</v>
      </c>
      <c r="Y2443" s="34" t="str">
        <f>HYPERLINK("https://api-enni.alpina.ru/FileCertificateProject/314","https://api-enni.alpina.ru/FileCertificateProject/314")</f>
        <v>https://api-enni.alpina.ru/FileCertificateProject/314</v>
      </c>
      <c r="Z2443" s="13"/>
      <c r="AT2443" s="1">
        <f t="shared" si="470"/>
        <v>0</v>
      </c>
      <c r="AU2443" s="1">
        <f t="shared" si="471"/>
        <v>0</v>
      </c>
      <c r="AV2443" s="1">
        <f t="shared" si="472"/>
        <v>0</v>
      </c>
      <c r="AW2443" s="1">
        <f t="shared" si="473"/>
        <v>0</v>
      </c>
      <c r="AX2443" s="1">
        <f t="shared" si="474"/>
        <v>0</v>
      </c>
    </row>
    <row r="2444" spans="1:50" s="1" customFormat="1" ht="24.95" customHeight="1" outlineLevel="3" x14ac:dyDescent="0.2">
      <c r="A2444" s="11"/>
      <c r="B2444" s="12">
        <v>530</v>
      </c>
      <c r="C2444" s="12">
        <v>790</v>
      </c>
      <c r="D2444" s="12">
        <v>27660</v>
      </c>
      <c r="E2444" s="13" t="s">
        <v>7167</v>
      </c>
      <c r="F2444" s="13" t="s">
        <v>7968</v>
      </c>
      <c r="G2444" s="13" t="s">
        <v>163</v>
      </c>
      <c r="H2444" s="13" t="s">
        <v>40</v>
      </c>
      <c r="I2444" s="12">
        <v>2023</v>
      </c>
      <c r="J2444" s="13" t="s">
        <v>7969</v>
      </c>
      <c r="K2444" s="12">
        <v>9785961485981</v>
      </c>
      <c r="L2444" s="13" t="s">
        <v>7970</v>
      </c>
      <c r="M2444" s="12">
        <v>384</v>
      </c>
      <c r="N2444" s="14">
        <v>0.3</v>
      </c>
      <c r="O2444" s="12">
        <v>130</v>
      </c>
      <c r="P2444" s="12">
        <v>200</v>
      </c>
      <c r="Q2444" s="12">
        <v>5</v>
      </c>
      <c r="R2444" s="13" t="s">
        <v>82</v>
      </c>
      <c r="S2444" s="13" t="s">
        <v>5925</v>
      </c>
      <c r="T2444" s="15">
        <v>3000</v>
      </c>
      <c r="U2444" s="13" t="s">
        <v>44</v>
      </c>
      <c r="V2444" s="13" t="s">
        <v>59</v>
      </c>
      <c r="W2444" s="12">
        <v>10</v>
      </c>
      <c r="X2444" s="33" t="str">
        <f>HYPERLINK("https://www.alpinabook.ru/catalog/book-vikhr-koldovstva","ссылка на книгу")</f>
        <v>ссылка на книгу</v>
      </c>
      <c r="Y2444" s="34" t="str">
        <f>HYPERLINK("https://api-enni.alpina.ru/FileCertificateProject/314","https://api-enni.alpina.ru/FileCertificateProject/314")</f>
        <v>https://api-enni.alpina.ru/FileCertificateProject/314</v>
      </c>
      <c r="Z2444" s="13"/>
      <c r="AT2444" s="1">
        <f t="shared" si="470"/>
        <v>0</v>
      </c>
      <c r="AU2444" s="1">
        <f t="shared" si="471"/>
        <v>0</v>
      </c>
      <c r="AV2444" s="1">
        <f t="shared" si="472"/>
        <v>0</v>
      </c>
      <c r="AW2444" s="1">
        <f t="shared" si="473"/>
        <v>0</v>
      </c>
      <c r="AX2444" s="1">
        <f t="shared" si="474"/>
        <v>0</v>
      </c>
    </row>
    <row r="2445" spans="1:50" s="1" customFormat="1" ht="24.95" customHeight="1" outlineLevel="3" x14ac:dyDescent="0.2">
      <c r="A2445" s="11"/>
      <c r="B2445" s="12">
        <v>550</v>
      </c>
      <c r="C2445" s="12">
        <v>790</v>
      </c>
      <c r="D2445" s="12">
        <v>29963</v>
      </c>
      <c r="E2445" s="13" t="s">
        <v>7971</v>
      </c>
      <c r="F2445" s="13" t="s">
        <v>7972</v>
      </c>
      <c r="G2445" s="13" t="s">
        <v>121</v>
      </c>
      <c r="H2445" s="13" t="s">
        <v>40</v>
      </c>
      <c r="I2445" s="12">
        <v>2025</v>
      </c>
      <c r="J2445" s="13" t="s">
        <v>7973</v>
      </c>
      <c r="K2445" s="12">
        <v>9785961494471</v>
      </c>
      <c r="L2445" s="13" t="s">
        <v>7974</v>
      </c>
      <c r="M2445" s="12">
        <v>368</v>
      </c>
      <c r="N2445" s="14">
        <v>0.35</v>
      </c>
      <c r="O2445" s="12">
        <v>140</v>
      </c>
      <c r="P2445" s="12">
        <v>210</v>
      </c>
      <c r="Q2445" s="12">
        <v>6</v>
      </c>
      <c r="R2445" s="13" t="s">
        <v>43</v>
      </c>
      <c r="S2445" s="13"/>
      <c r="T2445" s="15">
        <v>2000</v>
      </c>
      <c r="U2445" s="13" t="s">
        <v>44</v>
      </c>
      <c r="V2445" s="13" t="s">
        <v>45</v>
      </c>
      <c r="W2445" s="12">
        <v>10</v>
      </c>
      <c r="X2445" s="33" t="str">
        <f>HYPERLINK("https://www.alpinabook.ru/catalog/book-vstrechi-na-polyakh","ссылка на книгу")</f>
        <v>ссылка на книгу</v>
      </c>
      <c r="Y2445" s="34" t="str">
        <f>HYPERLINK("https://api-enni.alpina.ru/FilePrivilegesApproval/567","https://api-enni.alpina.ru/FilePrivilegesApproval/567")</f>
        <v>https://api-enni.alpina.ru/FilePrivilegesApproval/567</v>
      </c>
      <c r="Z2445" s="13"/>
      <c r="AT2445" s="1">
        <f t="shared" si="470"/>
        <v>0</v>
      </c>
      <c r="AU2445" s="1">
        <f t="shared" si="471"/>
        <v>0</v>
      </c>
      <c r="AV2445" s="1">
        <f t="shared" si="472"/>
        <v>0</v>
      </c>
      <c r="AW2445" s="1">
        <f t="shared" si="473"/>
        <v>0</v>
      </c>
      <c r="AX2445" s="1">
        <f t="shared" si="474"/>
        <v>0</v>
      </c>
    </row>
    <row r="2446" spans="1:50" s="1" customFormat="1" ht="21.95" customHeight="1" outlineLevel="3" x14ac:dyDescent="0.2">
      <c r="A2446" s="11"/>
      <c r="B2446" s="12">
        <v>530</v>
      </c>
      <c r="C2446" s="12">
        <v>790</v>
      </c>
      <c r="D2446" s="12">
        <v>27658</v>
      </c>
      <c r="E2446" s="13" t="s">
        <v>7167</v>
      </c>
      <c r="F2446" s="13" t="s">
        <v>7975</v>
      </c>
      <c r="G2446" s="13" t="s">
        <v>163</v>
      </c>
      <c r="H2446" s="13" t="s">
        <v>40</v>
      </c>
      <c r="I2446" s="12">
        <v>2023</v>
      </c>
      <c r="J2446" s="13" t="s">
        <v>7976</v>
      </c>
      <c r="K2446" s="12">
        <v>9785961485967</v>
      </c>
      <c r="L2446" s="13" t="s">
        <v>7977</v>
      </c>
      <c r="M2446" s="12">
        <v>416</v>
      </c>
      <c r="N2446" s="14">
        <v>0.3</v>
      </c>
      <c r="O2446" s="12">
        <v>130</v>
      </c>
      <c r="P2446" s="12">
        <v>200</v>
      </c>
      <c r="Q2446" s="12">
        <v>6</v>
      </c>
      <c r="R2446" s="13" t="s">
        <v>82</v>
      </c>
      <c r="S2446" s="13"/>
      <c r="T2446" s="15">
        <v>5000</v>
      </c>
      <c r="U2446" s="13" t="s">
        <v>44</v>
      </c>
      <c r="V2446" s="13" t="s">
        <v>59</v>
      </c>
      <c r="W2446" s="12">
        <v>10</v>
      </c>
      <c r="X2446" s="33" t="str">
        <f>HYPERLINK("https://www.alpinabook.ru/catalog/book-gorstka-volshebstva","ссылка на книгу")</f>
        <v>ссылка на книгу</v>
      </c>
      <c r="Y2446" s="34" t="str">
        <f>HYPERLINK("","")</f>
        <v/>
      </c>
      <c r="Z2446" s="13"/>
      <c r="AT2446" s="1">
        <f t="shared" si="470"/>
        <v>0</v>
      </c>
      <c r="AU2446" s="1">
        <f t="shared" si="471"/>
        <v>0</v>
      </c>
      <c r="AV2446" s="1">
        <f t="shared" si="472"/>
        <v>0</v>
      </c>
      <c r="AW2446" s="1">
        <f t="shared" si="473"/>
        <v>0</v>
      </c>
      <c r="AX2446" s="1">
        <f t="shared" si="474"/>
        <v>0</v>
      </c>
    </row>
    <row r="2447" spans="1:50" s="1" customFormat="1" ht="24.95" customHeight="1" outlineLevel="3" x14ac:dyDescent="0.2">
      <c r="A2447" s="11"/>
      <c r="B2447" s="12">
        <v>840</v>
      </c>
      <c r="C2447" s="15">
        <v>1290</v>
      </c>
      <c r="D2447" s="12">
        <v>30846</v>
      </c>
      <c r="E2447" s="13" t="s">
        <v>7167</v>
      </c>
      <c r="F2447" s="13" t="s">
        <v>7978</v>
      </c>
      <c r="G2447" s="13" t="s">
        <v>163</v>
      </c>
      <c r="H2447" s="13" t="s">
        <v>40</v>
      </c>
      <c r="I2447" s="12">
        <v>2025</v>
      </c>
      <c r="J2447" s="13" t="s">
        <v>7979</v>
      </c>
      <c r="K2447" s="12">
        <v>9785961496765</v>
      </c>
      <c r="L2447" s="13" t="s">
        <v>7980</v>
      </c>
      <c r="M2447" s="12">
        <v>416</v>
      </c>
      <c r="N2447" s="14">
        <v>0.37</v>
      </c>
      <c r="O2447" s="12">
        <v>130</v>
      </c>
      <c r="P2447" s="12">
        <v>210</v>
      </c>
      <c r="Q2447" s="12">
        <v>5</v>
      </c>
      <c r="R2447" s="13" t="s">
        <v>82</v>
      </c>
      <c r="S2447" s="13"/>
      <c r="T2447" s="15">
        <v>2000</v>
      </c>
      <c r="U2447" s="13" t="s">
        <v>52</v>
      </c>
      <c r="V2447" s="13" t="s">
        <v>59</v>
      </c>
      <c r="W2447" s="12">
        <v>10</v>
      </c>
      <c r="X2447" s="33" t="str">
        <f>HYPERLINK("https://www.alpinabook.ru/catalog/book-gorstka-volshebstva","ссылка на книгу")</f>
        <v>ссылка на книгу</v>
      </c>
      <c r="Y2447" s="34" t="str">
        <f>HYPERLINK("https://api-enni.alpina.ru/FileCertificateProject/657","https://api-enni.alpina.ru/FileCertificateProject/657")</f>
        <v>https://api-enni.alpina.ru/FileCertificateProject/657</v>
      </c>
      <c r="Z2447" s="13" t="s">
        <v>70</v>
      </c>
      <c r="AT2447" s="1">
        <f t="shared" si="470"/>
        <v>0</v>
      </c>
      <c r="AU2447" s="1">
        <f t="shared" si="471"/>
        <v>0</v>
      </c>
      <c r="AV2447" s="1">
        <f t="shared" si="472"/>
        <v>0</v>
      </c>
      <c r="AW2447" s="1">
        <f t="shared" si="473"/>
        <v>0</v>
      </c>
      <c r="AX2447" s="1">
        <f t="shared" si="474"/>
        <v>0</v>
      </c>
    </row>
    <row r="2448" spans="1:50" s="1" customFormat="1" ht="24.95" customHeight="1" outlineLevel="3" x14ac:dyDescent="0.2">
      <c r="A2448" s="11"/>
      <c r="B2448" s="12">
        <v>530</v>
      </c>
      <c r="C2448" s="12">
        <v>530</v>
      </c>
      <c r="D2448" s="12">
        <v>25852</v>
      </c>
      <c r="E2448" s="13" t="s">
        <v>7981</v>
      </c>
      <c r="F2448" s="13" t="s">
        <v>7982</v>
      </c>
      <c r="G2448" s="13" t="s">
        <v>163</v>
      </c>
      <c r="H2448" s="13" t="s">
        <v>40</v>
      </c>
      <c r="I2448" s="12">
        <v>2022</v>
      </c>
      <c r="J2448" s="13" t="s">
        <v>7983</v>
      </c>
      <c r="K2448" s="12">
        <v>9785961478785</v>
      </c>
      <c r="L2448" s="13" t="s">
        <v>7984</v>
      </c>
      <c r="M2448" s="12">
        <v>304</v>
      </c>
      <c r="N2448" s="14">
        <v>0.3</v>
      </c>
      <c r="O2448" s="12">
        <v>130</v>
      </c>
      <c r="P2448" s="12">
        <v>206</v>
      </c>
      <c r="Q2448" s="12">
        <v>14</v>
      </c>
      <c r="R2448" s="13" t="s">
        <v>82</v>
      </c>
      <c r="S2448" s="13" t="s">
        <v>5925</v>
      </c>
      <c r="T2448" s="15">
        <v>2000</v>
      </c>
      <c r="U2448" s="13" t="s">
        <v>52</v>
      </c>
      <c r="V2448" s="13" t="s">
        <v>59</v>
      </c>
      <c r="W2448" s="12">
        <v>10</v>
      </c>
      <c r="X2448" s="33" t="str">
        <f>HYPERLINK("https://www.alpinabook.ru/catalog/book-devochka-v-dospehah","ссылка на книгу")</f>
        <v>ссылка на книгу</v>
      </c>
      <c r="Y2448" s="34" t="str">
        <f>HYPERLINK("https://api-enni.alpina.ru/FileCertificateProject/568","https://api-enni.alpina.ru/FileCertificateProject/568")</f>
        <v>https://api-enni.alpina.ru/FileCertificateProject/568</v>
      </c>
      <c r="Z2448" s="13"/>
      <c r="AT2448" s="1">
        <f t="shared" si="470"/>
        <v>0</v>
      </c>
      <c r="AU2448" s="1">
        <f t="shared" si="471"/>
        <v>0</v>
      </c>
      <c r="AV2448" s="1">
        <f t="shared" si="472"/>
        <v>0</v>
      </c>
      <c r="AW2448" s="1">
        <f t="shared" si="473"/>
        <v>0</v>
      </c>
      <c r="AX2448" s="1">
        <f t="shared" si="474"/>
        <v>0</v>
      </c>
    </row>
    <row r="2449" spans="1:50" s="1" customFormat="1" ht="24.95" customHeight="1" outlineLevel="3" x14ac:dyDescent="0.2">
      <c r="A2449" s="11"/>
      <c r="B2449" s="12">
        <v>490</v>
      </c>
      <c r="C2449" s="12">
        <v>740</v>
      </c>
      <c r="D2449" s="12">
        <v>29098</v>
      </c>
      <c r="E2449" s="13" t="s">
        <v>7985</v>
      </c>
      <c r="F2449" s="13" t="s">
        <v>7986</v>
      </c>
      <c r="G2449" s="13" t="s">
        <v>121</v>
      </c>
      <c r="H2449" s="13" t="s">
        <v>7794</v>
      </c>
      <c r="I2449" s="12">
        <v>2024</v>
      </c>
      <c r="J2449" s="13" t="s">
        <v>7987</v>
      </c>
      <c r="K2449" s="12">
        <v>9785961491425</v>
      </c>
      <c r="L2449" s="13" t="s">
        <v>7988</v>
      </c>
      <c r="M2449" s="12">
        <v>144</v>
      </c>
      <c r="N2449" s="14">
        <v>0.23</v>
      </c>
      <c r="O2449" s="12">
        <v>140</v>
      </c>
      <c r="P2449" s="12">
        <v>210</v>
      </c>
      <c r="Q2449" s="12">
        <v>12</v>
      </c>
      <c r="R2449" s="13" t="s">
        <v>43</v>
      </c>
      <c r="S2449" s="13"/>
      <c r="T2449" s="15">
        <v>2000</v>
      </c>
      <c r="U2449" s="13" t="s">
        <v>44</v>
      </c>
      <c r="V2449" s="13" t="s">
        <v>45</v>
      </c>
      <c r="W2449" s="12">
        <v>10</v>
      </c>
      <c r="X2449" s="33" t="str">
        <f>HYPERLINK("https://www.alpinabook.ru/catalog/book-doktor-kloun","ссылка на книгу")</f>
        <v>ссылка на книгу</v>
      </c>
      <c r="Y2449" s="34" t="str">
        <f>HYPERLINK("https://api-enni.alpina.ru/FilePrivilegesApproval/345","https://api-enni.alpina.ru/FilePrivilegesApproval/345")</f>
        <v>https://api-enni.alpina.ru/FilePrivilegesApproval/345</v>
      </c>
      <c r="Z2449" s="13"/>
      <c r="AT2449" s="1">
        <f t="shared" si="470"/>
        <v>0</v>
      </c>
      <c r="AU2449" s="1">
        <f t="shared" si="471"/>
        <v>0</v>
      </c>
      <c r="AV2449" s="1">
        <f t="shared" si="472"/>
        <v>0</v>
      </c>
      <c r="AW2449" s="1">
        <f t="shared" si="473"/>
        <v>0</v>
      </c>
      <c r="AX2449" s="1">
        <f t="shared" si="474"/>
        <v>0</v>
      </c>
    </row>
    <row r="2450" spans="1:50" s="1" customFormat="1" ht="24.95" customHeight="1" outlineLevel="3" x14ac:dyDescent="0.2">
      <c r="A2450" s="11"/>
      <c r="B2450" s="12">
        <v>690</v>
      </c>
      <c r="C2450" s="12">
        <v>990</v>
      </c>
      <c r="D2450" s="12">
        <v>29974</v>
      </c>
      <c r="E2450" s="13" t="s">
        <v>7989</v>
      </c>
      <c r="F2450" s="13" t="s">
        <v>7990</v>
      </c>
      <c r="G2450" s="13" t="s">
        <v>121</v>
      </c>
      <c r="H2450" s="13" t="s">
        <v>40</v>
      </c>
      <c r="I2450" s="12">
        <v>2025</v>
      </c>
      <c r="J2450" s="13" t="s">
        <v>7991</v>
      </c>
      <c r="K2450" s="12">
        <v>9785961494495</v>
      </c>
      <c r="L2450" s="13" t="s">
        <v>7992</v>
      </c>
      <c r="M2450" s="12">
        <v>448</v>
      </c>
      <c r="N2450" s="14">
        <v>0.42</v>
      </c>
      <c r="O2450" s="12">
        <v>140</v>
      </c>
      <c r="P2450" s="12">
        <v>210</v>
      </c>
      <c r="Q2450" s="12">
        <v>5</v>
      </c>
      <c r="R2450" s="13" t="s">
        <v>43</v>
      </c>
      <c r="S2450" s="13"/>
      <c r="T2450" s="15">
        <v>2000</v>
      </c>
      <c r="U2450" s="13" t="s">
        <v>44</v>
      </c>
      <c r="V2450" s="13" t="s">
        <v>89</v>
      </c>
      <c r="W2450" s="12">
        <v>20</v>
      </c>
      <c r="X2450" s="33" t="str">
        <f>HYPERLINK("https://www.alpinabook.ru/catalog/book-esli-ty-to-ya","ссылка на книгу")</f>
        <v>ссылка на книгу</v>
      </c>
      <c r="Y2450" s="34" t="str">
        <f>HYPERLINK("https://api-enni.alpina.ru/FilePrivilegesApproval/413","https://api-enni.alpina.ru/FilePrivilegesApproval/413")</f>
        <v>https://api-enni.alpina.ru/FilePrivilegesApproval/413</v>
      </c>
      <c r="Z2450" s="13" t="s">
        <v>775</v>
      </c>
      <c r="AT2450" s="1">
        <f t="shared" si="470"/>
        <v>0</v>
      </c>
      <c r="AU2450" s="1">
        <f t="shared" si="471"/>
        <v>0</v>
      </c>
      <c r="AV2450" s="1">
        <f t="shared" si="472"/>
        <v>0</v>
      </c>
      <c r="AW2450" s="1">
        <f t="shared" si="473"/>
        <v>0</v>
      </c>
      <c r="AX2450" s="1">
        <f t="shared" si="474"/>
        <v>0</v>
      </c>
    </row>
    <row r="2451" spans="1:50" s="1" customFormat="1" ht="24.95" customHeight="1" outlineLevel="3" x14ac:dyDescent="0.2">
      <c r="A2451" s="11"/>
      <c r="B2451" s="12">
        <v>690</v>
      </c>
      <c r="C2451" s="12">
        <v>690</v>
      </c>
      <c r="D2451" s="12">
        <v>26292</v>
      </c>
      <c r="E2451" s="13" t="s">
        <v>7993</v>
      </c>
      <c r="F2451" s="13" t="s">
        <v>7994</v>
      </c>
      <c r="G2451" s="13" t="s">
        <v>163</v>
      </c>
      <c r="H2451" s="13" t="s">
        <v>40</v>
      </c>
      <c r="I2451" s="12">
        <v>2023</v>
      </c>
      <c r="J2451" s="13" t="s">
        <v>7995</v>
      </c>
      <c r="K2451" s="12">
        <v>9785961481075</v>
      </c>
      <c r="L2451" s="13" t="s">
        <v>7996</v>
      </c>
      <c r="M2451" s="12">
        <v>384</v>
      </c>
      <c r="N2451" s="14">
        <v>0.38</v>
      </c>
      <c r="O2451" s="12">
        <v>130</v>
      </c>
      <c r="P2451" s="12">
        <v>206</v>
      </c>
      <c r="Q2451" s="12">
        <v>12</v>
      </c>
      <c r="R2451" s="13" t="s">
        <v>82</v>
      </c>
      <c r="S2451" s="13" t="s">
        <v>5925</v>
      </c>
      <c r="T2451" s="15">
        <v>2000</v>
      </c>
      <c r="U2451" s="13" t="s">
        <v>52</v>
      </c>
      <c r="V2451" s="13" t="s">
        <v>59</v>
      </c>
      <c r="W2451" s="12">
        <v>10</v>
      </c>
      <c r="X2451" s="33" t="str">
        <f>HYPERLINK("https://www.alpinabook.ru/catalog/book-zatonuvshiy-les","ссылка на книгу")</f>
        <v>ссылка на книгу</v>
      </c>
      <c r="Y2451" s="34" t="str">
        <f>HYPERLINK("https://api-enni.alpina.ru/FileCertificateProject/47","https://api-enni.alpina.ru/FileCertificateProject/47")</f>
        <v>https://api-enni.alpina.ru/FileCertificateProject/47</v>
      </c>
      <c r="Z2451" s="13"/>
      <c r="AT2451" s="1">
        <f t="shared" si="470"/>
        <v>0</v>
      </c>
      <c r="AU2451" s="1">
        <f t="shared" si="471"/>
        <v>0</v>
      </c>
      <c r="AV2451" s="1">
        <f t="shared" si="472"/>
        <v>0</v>
      </c>
      <c r="AW2451" s="1">
        <f t="shared" si="473"/>
        <v>0</v>
      </c>
      <c r="AX2451" s="1">
        <f t="shared" si="474"/>
        <v>0</v>
      </c>
    </row>
    <row r="2452" spans="1:50" s="1" customFormat="1" ht="21.95" customHeight="1" outlineLevel="3" x14ac:dyDescent="0.2">
      <c r="A2452" s="11"/>
      <c r="B2452" s="12">
        <v>480</v>
      </c>
      <c r="C2452" s="12">
        <v>740</v>
      </c>
      <c r="D2452" s="12">
        <v>30321</v>
      </c>
      <c r="E2452" s="13" t="s">
        <v>7993</v>
      </c>
      <c r="F2452" s="13" t="s">
        <v>7994</v>
      </c>
      <c r="G2452" s="13" t="s">
        <v>121</v>
      </c>
      <c r="H2452" s="13" t="s">
        <v>40</v>
      </c>
      <c r="I2452" s="12">
        <v>2024</v>
      </c>
      <c r="J2452" s="13" t="s">
        <v>7997</v>
      </c>
      <c r="K2452" s="12">
        <v>9785961495157</v>
      </c>
      <c r="L2452" s="13" t="s">
        <v>7998</v>
      </c>
      <c r="M2452" s="12">
        <v>368</v>
      </c>
      <c r="N2452" s="14">
        <v>0.35</v>
      </c>
      <c r="O2452" s="12">
        <v>140</v>
      </c>
      <c r="P2452" s="12">
        <v>210</v>
      </c>
      <c r="Q2452" s="12">
        <v>4</v>
      </c>
      <c r="R2452" s="13" t="s">
        <v>43</v>
      </c>
      <c r="S2452" s="13"/>
      <c r="T2452" s="15">
        <v>3000</v>
      </c>
      <c r="U2452" s="13" t="s">
        <v>44</v>
      </c>
      <c r="V2452" s="13" t="s">
        <v>89</v>
      </c>
      <c r="W2452" s="12">
        <v>20</v>
      </c>
      <c r="X2452" s="33" t="str">
        <f>HYPERLINK("https://www.alpinabook.ru/catalog/book-zatonuvshiy-les-mm","ссылка на книгу")</f>
        <v>ссылка на книгу</v>
      </c>
      <c r="Y2452" s="34" t="str">
        <f>HYPERLINK("","")</f>
        <v/>
      </c>
      <c r="Z2452" s="13"/>
      <c r="AT2452" s="1">
        <f t="shared" si="470"/>
        <v>0</v>
      </c>
      <c r="AU2452" s="1">
        <f t="shared" si="471"/>
        <v>0</v>
      </c>
      <c r="AV2452" s="1">
        <f t="shared" si="472"/>
        <v>0</v>
      </c>
      <c r="AW2452" s="1">
        <f t="shared" si="473"/>
        <v>0</v>
      </c>
      <c r="AX2452" s="1">
        <f t="shared" si="474"/>
        <v>0</v>
      </c>
    </row>
    <row r="2453" spans="1:50" s="1" customFormat="1" ht="24.95" customHeight="1" outlineLevel="3" x14ac:dyDescent="0.2">
      <c r="A2453" s="11"/>
      <c r="B2453" s="12">
        <v>840</v>
      </c>
      <c r="C2453" s="15">
        <v>1290</v>
      </c>
      <c r="D2453" s="12">
        <v>20666</v>
      </c>
      <c r="E2453" s="13" t="s">
        <v>7999</v>
      </c>
      <c r="F2453" s="13" t="s">
        <v>8000</v>
      </c>
      <c r="G2453" s="13" t="s">
        <v>163</v>
      </c>
      <c r="H2453" s="13" t="s">
        <v>40</v>
      </c>
      <c r="I2453" s="12">
        <v>2025</v>
      </c>
      <c r="J2453" s="13" t="s">
        <v>8001</v>
      </c>
      <c r="K2453" s="12">
        <v>9785961440959</v>
      </c>
      <c r="L2453" s="13" t="s">
        <v>8002</v>
      </c>
      <c r="M2453" s="12">
        <v>272</v>
      </c>
      <c r="N2453" s="14">
        <v>0.35</v>
      </c>
      <c r="O2453" s="12">
        <v>160</v>
      </c>
      <c r="P2453" s="12">
        <v>200</v>
      </c>
      <c r="Q2453" s="12">
        <v>7</v>
      </c>
      <c r="R2453" s="13" t="s">
        <v>100</v>
      </c>
      <c r="S2453" s="13"/>
      <c r="T2453" s="15">
        <v>2000</v>
      </c>
      <c r="U2453" s="13" t="s">
        <v>52</v>
      </c>
      <c r="V2453" s="13" t="s">
        <v>269</v>
      </c>
      <c r="W2453" s="12">
        <v>10</v>
      </c>
      <c r="X2453" s="33" t="str">
        <f>HYPERLINK("https://www.alpinabook.ru/catalog/book-izumitelnaya-strana-snergov","ссылка на книгу")</f>
        <v>ссылка на книгу</v>
      </c>
      <c r="Y2453" s="34" t="str">
        <f>HYPERLINK("https://api-enni.alpina.ru/FileCertificateProject/14","https://api-enni.alpina.ru/FileCertificateProject/14")</f>
        <v>https://api-enni.alpina.ru/FileCertificateProject/14</v>
      </c>
      <c r="Z2453" s="13" t="s">
        <v>194</v>
      </c>
      <c r="AT2453" s="1">
        <f t="shared" si="470"/>
        <v>0</v>
      </c>
      <c r="AU2453" s="1">
        <f t="shared" si="471"/>
        <v>0</v>
      </c>
      <c r="AV2453" s="1">
        <f t="shared" si="472"/>
        <v>0</v>
      </c>
      <c r="AW2453" s="1">
        <f t="shared" si="473"/>
        <v>0</v>
      </c>
      <c r="AX2453" s="1">
        <f t="shared" si="474"/>
        <v>0</v>
      </c>
    </row>
    <row r="2454" spans="1:50" s="1" customFormat="1" ht="24.95" customHeight="1" outlineLevel="3" x14ac:dyDescent="0.2">
      <c r="A2454" s="11"/>
      <c r="B2454" s="12">
        <v>390</v>
      </c>
      <c r="C2454" s="12">
        <v>640</v>
      </c>
      <c r="D2454" s="12">
        <v>27520</v>
      </c>
      <c r="E2454" s="13" t="s">
        <v>8003</v>
      </c>
      <c r="F2454" s="13" t="s">
        <v>8004</v>
      </c>
      <c r="G2454" s="13" t="s">
        <v>121</v>
      </c>
      <c r="H2454" s="13"/>
      <c r="I2454" s="12">
        <v>2024</v>
      </c>
      <c r="J2454" s="13" t="s">
        <v>8005</v>
      </c>
      <c r="K2454" s="12">
        <v>9785961485479</v>
      </c>
      <c r="L2454" s="13" t="s">
        <v>8006</v>
      </c>
      <c r="M2454" s="12">
        <v>240</v>
      </c>
      <c r="N2454" s="14">
        <v>0.23</v>
      </c>
      <c r="O2454" s="12">
        <v>140</v>
      </c>
      <c r="P2454" s="12">
        <v>210</v>
      </c>
      <c r="Q2454" s="12">
        <v>7</v>
      </c>
      <c r="R2454" s="13" t="s">
        <v>43</v>
      </c>
      <c r="S2454" s="13" t="s">
        <v>5925</v>
      </c>
      <c r="T2454" s="15">
        <v>5000</v>
      </c>
      <c r="U2454" s="13" t="s">
        <v>44</v>
      </c>
      <c r="V2454" s="13" t="s">
        <v>45</v>
      </c>
      <c r="W2454" s="12">
        <v>10</v>
      </c>
      <c r="X2454" s="33" t="str">
        <f>HYPERLINK("https://www.alpinabook.ru/catalog/book-kazhdyy-atom","ссылка на книгу")</f>
        <v>ссылка на книгу</v>
      </c>
      <c r="Y2454" s="34" t="str">
        <f>HYPERLINK("https://api-enni.alpina.ru/FilePrivilegesApproval/335","https://api-enni.alpina.ru/FilePrivilegesApproval/335")</f>
        <v>https://api-enni.alpina.ru/FilePrivilegesApproval/335</v>
      </c>
      <c r="Z2454" s="13"/>
      <c r="AT2454" s="1">
        <f t="shared" si="470"/>
        <v>0</v>
      </c>
      <c r="AU2454" s="1">
        <f t="shared" si="471"/>
        <v>0</v>
      </c>
      <c r="AV2454" s="1">
        <f t="shared" si="472"/>
        <v>0</v>
      </c>
      <c r="AW2454" s="1">
        <f t="shared" si="473"/>
        <v>0</v>
      </c>
      <c r="AX2454" s="1">
        <f t="shared" si="474"/>
        <v>0</v>
      </c>
    </row>
    <row r="2455" spans="1:50" s="1" customFormat="1" ht="24.95" customHeight="1" outlineLevel="3" x14ac:dyDescent="0.2">
      <c r="A2455" s="11"/>
      <c r="B2455" s="12">
        <v>590</v>
      </c>
      <c r="C2455" s="12">
        <v>590</v>
      </c>
      <c r="D2455" s="12">
        <v>24011</v>
      </c>
      <c r="E2455" s="13" t="s">
        <v>7167</v>
      </c>
      <c r="F2455" s="13" t="s">
        <v>8007</v>
      </c>
      <c r="G2455" s="13" t="s">
        <v>163</v>
      </c>
      <c r="H2455" s="13" t="s">
        <v>40</v>
      </c>
      <c r="I2455" s="12">
        <v>2022</v>
      </c>
      <c r="J2455" s="13" t="s">
        <v>8008</v>
      </c>
      <c r="K2455" s="12">
        <v>9785961474190</v>
      </c>
      <c r="L2455" s="13" t="s">
        <v>8009</v>
      </c>
      <c r="M2455" s="12">
        <v>368</v>
      </c>
      <c r="N2455" s="14">
        <v>0.37</v>
      </c>
      <c r="O2455" s="12">
        <v>130</v>
      </c>
      <c r="P2455" s="12">
        <v>204</v>
      </c>
      <c r="Q2455" s="12">
        <v>12</v>
      </c>
      <c r="R2455" s="13" t="s">
        <v>82</v>
      </c>
      <c r="S2455" s="13"/>
      <c r="T2455" s="15">
        <v>4000</v>
      </c>
      <c r="U2455" s="13" t="s">
        <v>52</v>
      </c>
      <c r="V2455" s="13" t="s">
        <v>59</v>
      </c>
      <c r="W2455" s="12">
        <v>10</v>
      </c>
      <c r="X2455" s="33" t="str">
        <f>HYPERLINK("https://www.alpinabook.ru/catalog/book-klubok-zaklinaniy","ссылка на книгу")</f>
        <v>ссылка на книгу</v>
      </c>
      <c r="Y2455" s="34" t="str">
        <f>HYPERLINK("https://api-enni.alpina.ru/FileCertificateProject/236","https://api-enni.alpina.ru/FileCertificateProject/236")</f>
        <v>https://api-enni.alpina.ru/FileCertificateProject/236</v>
      </c>
      <c r="Z2455" s="13"/>
      <c r="AT2455" s="1">
        <f t="shared" si="470"/>
        <v>0</v>
      </c>
      <c r="AU2455" s="1">
        <f t="shared" si="471"/>
        <v>0</v>
      </c>
      <c r="AV2455" s="1">
        <f t="shared" si="472"/>
        <v>0</v>
      </c>
      <c r="AW2455" s="1">
        <f t="shared" si="473"/>
        <v>0</v>
      </c>
      <c r="AX2455" s="1">
        <f t="shared" si="474"/>
        <v>0</v>
      </c>
    </row>
    <row r="2456" spans="1:50" s="1" customFormat="1" ht="24.95" customHeight="1" outlineLevel="3" x14ac:dyDescent="0.2">
      <c r="A2456" s="11"/>
      <c r="B2456" s="12">
        <v>530</v>
      </c>
      <c r="C2456" s="12">
        <v>790</v>
      </c>
      <c r="D2456" s="12">
        <v>27659</v>
      </c>
      <c r="E2456" s="13" t="s">
        <v>7167</v>
      </c>
      <c r="F2456" s="13" t="s">
        <v>8010</v>
      </c>
      <c r="G2456" s="13" t="s">
        <v>163</v>
      </c>
      <c r="H2456" s="13" t="s">
        <v>40</v>
      </c>
      <c r="I2456" s="12">
        <v>2023</v>
      </c>
      <c r="J2456" s="13" t="s">
        <v>8011</v>
      </c>
      <c r="K2456" s="12">
        <v>9785961485974</v>
      </c>
      <c r="L2456" s="13" t="s">
        <v>8012</v>
      </c>
      <c r="M2456" s="12">
        <v>368</v>
      </c>
      <c r="N2456" s="14">
        <v>0.3</v>
      </c>
      <c r="O2456" s="12">
        <v>130</v>
      </c>
      <c r="P2456" s="12">
        <v>200</v>
      </c>
      <c r="Q2456" s="12">
        <v>6</v>
      </c>
      <c r="R2456" s="13" t="s">
        <v>82</v>
      </c>
      <c r="S2456" s="13"/>
      <c r="T2456" s="15">
        <v>5000</v>
      </c>
      <c r="U2456" s="13" t="s">
        <v>44</v>
      </c>
      <c r="V2456" s="13" t="s">
        <v>59</v>
      </c>
      <c r="W2456" s="12">
        <v>10</v>
      </c>
      <c r="X2456" s="33" t="str">
        <f>HYPERLINK("https://www.alpinabook.ru/catalog/book-klubok-zaklinaniy","ссылка на книгу")</f>
        <v>ссылка на книгу</v>
      </c>
      <c r="Y2456" s="34" t="str">
        <f>HYPERLINK("https://api-enni.alpina.ru/FileCertificateProject/236","https://api-enni.alpina.ru/FileCertificateProject/236")</f>
        <v>https://api-enni.alpina.ru/FileCertificateProject/236</v>
      </c>
      <c r="Z2456" s="13"/>
      <c r="AT2456" s="1">
        <f t="shared" si="470"/>
        <v>0</v>
      </c>
      <c r="AU2456" s="1">
        <f t="shared" si="471"/>
        <v>0</v>
      </c>
      <c r="AV2456" s="1">
        <f t="shared" si="472"/>
        <v>0</v>
      </c>
      <c r="AW2456" s="1">
        <f t="shared" si="473"/>
        <v>0</v>
      </c>
      <c r="AX2456" s="1">
        <f t="shared" si="474"/>
        <v>0</v>
      </c>
    </row>
    <row r="2457" spans="1:50" s="1" customFormat="1" ht="24.95" customHeight="1" outlineLevel="3" x14ac:dyDescent="0.2">
      <c r="A2457" s="11"/>
      <c r="B2457" s="12">
        <v>840</v>
      </c>
      <c r="C2457" s="15">
        <v>1290</v>
      </c>
      <c r="D2457" s="12">
        <v>30847</v>
      </c>
      <c r="E2457" s="13" t="s">
        <v>7167</v>
      </c>
      <c r="F2457" s="13" t="s">
        <v>8007</v>
      </c>
      <c r="G2457" s="13" t="s">
        <v>163</v>
      </c>
      <c r="H2457" s="13" t="s">
        <v>40</v>
      </c>
      <c r="I2457" s="12">
        <v>2025</v>
      </c>
      <c r="J2457" s="13" t="s">
        <v>8013</v>
      </c>
      <c r="K2457" s="12">
        <v>9785961496772</v>
      </c>
      <c r="L2457" s="13" t="s">
        <v>8014</v>
      </c>
      <c r="M2457" s="12">
        <v>368</v>
      </c>
      <c r="N2457" s="14">
        <v>0.37</v>
      </c>
      <c r="O2457" s="12">
        <v>130</v>
      </c>
      <c r="P2457" s="12">
        <v>210</v>
      </c>
      <c r="Q2457" s="12">
        <v>5</v>
      </c>
      <c r="R2457" s="13" t="s">
        <v>82</v>
      </c>
      <c r="S2457" s="13"/>
      <c r="T2457" s="15">
        <v>2000</v>
      </c>
      <c r="U2457" s="13" t="s">
        <v>52</v>
      </c>
      <c r="V2457" s="13" t="s">
        <v>59</v>
      </c>
      <c r="W2457" s="12">
        <v>10</v>
      </c>
      <c r="X2457" s="33" t="str">
        <f>HYPERLINK("https://www.alpinabook.ru/catalog/book-klubok-zaklinaniy","ссылка на книгу")</f>
        <v>ссылка на книгу</v>
      </c>
      <c r="Y2457" s="34" t="str">
        <f>HYPERLINK("https://api-enni.alpina.ru/FileCertificateProject/236","https://api-enni.alpina.ru/FileCertificateProject/236")</f>
        <v>https://api-enni.alpina.ru/FileCertificateProject/236</v>
      </c>
      <c r="Z2457" s="13" t="s">
        <v>70</v>
      </c>
      <c r="AT2457" s="1">
        <f t="shared" si="470"/>
        <v>0</v>
      </c>
      <c r="AU2457" s="1">
        <f t="shared" si="471"/>
        <v>0</v>
      </c>
      <c r="AV2457" s="1">
        <f t="shared" si="472"/>
        <v>0</v>
      </c>
      <c r="AW2457" s="1">
        <f t="shared" si="473"/>
        <v>0</v>
      </c>
      <c r="AX2457" s="1">
        <f t="shared" si="474"/>
        <v>0</v>
      </c>
    </row>
    <row r="2458" spans="1:50" s="1" customFormat="1" ht="21.95" customHeight="1" outlineLevel="3" x14ac:dyDescent="0.2">
      <c r="A2458" s="11"/>
      <c r="B2458" s="12">
        <v>490</v>
      </c>
      <c r="C2458" s="12">
        <v>740</v>
      </c>
      <c r="D2458" s="12">
        <v>29406</v>
      </c>
      <c r="E2458" s="13" t="s">
        <v>8015</v>
      </c>
      <c r="F2458" s="13" t="s">
        <v>8016</v>
      </c>
      <c r="G2458" s="13" t="s">
        <v>121</v>
      </c>
      <c r="H2458" s="13" t="s">
        <v>200</v>
      </c>
      <c r="I2458" s="12">
        <v>2024</v>
      </c>
      <c r="J2458" s="13" t="s">
        <v>8017</v>
      </c>
      <c r="K2458" s="12">
        <v>9785961492460</v>
      </c>
      <c r="L2458" s="13" t="s">
        <v>8018</v>
      </c>
      <c r="M2458" s="12">
        <v>544</v>
      </c>
      <c r="N2458" s="14">
        <v>0.64</v>
      </c>
      <c r="O2458" s="12">
        <v>140</v>
      </c>
      <c r="P2458" s="12">
        <v>210</v>
      </c>
      <c r="Q2458" s="12">
        <v>4</v>
      </c>
      <c r="R2458" s="13" t="s">
        <v>43</v>
      </c>
      <c r="S2458" s="13"/>
      <c r="T2458" s="15">
        <v>4000</v>
      </c>
      <c r="U2458" s="13" t="s">
        <v>44</v>
      </c>
      <c r="V2458" s="13" t="s">
        <v>89</v>
      </c>
      <c r="W2458" s="12">
        <v>20</v>
      </c>
      <c r="X2458" s="33" t="str">
        <f>HYPERLINK("https://www.alpinabook.ru/catalog/book-knizhnyy-klub-v-oblakakh","ссылка на книгу")</f>
        <v>ссылка на книгу</v>
      </c>
      <c r="Y2458" s="34" t="str">
        <f>HYPERLINK("","")</f>
        <v/>
      </c>
      <c r="Z2458" s="13"/>
      <c r="AT2458" s="1">
        <f t="shared" si="470"/>
        <v>0</v>
      </c>
      <c r="AU2458" s="1">
        <f t="shared" si="471"/>
        <v>0</v>
      </c>
      <c r="AV2458" s="1">
        <f t="shared" si="472"/>
        <v>0</v>
      </c>
      <c r="AW2458" s="1">
        <f t="shared" si="473"/>
        <v>0</v>
      </c>
      <c r="AX2458" s="1">
        <f t="shared" si="474"/>
        <v>0</v>
      </c>
    </row>
    <row r="2459" spans="1:50" s="1" customFormat="1" ht="24.95" customHeight="1" outlineLevel="3" x14ac:dyDescent="0.2">
      <c r="A2459" s="11"/>
      <c r="B2459" s="12">
        <v>550</v>
      </c>
      <c r="C2459" s="12">
        <v>790</v>
      </c>
      <c r="D2459" s="12">
        <v>31255</v>
      </c>
      <c r="E2459" s="13" t="s">
        <v>119</v>
      </c>
      <c r="F2459" s="13" t="s">
        <v>120</v>
      </c>
      <c r="G2459" s="13" t="s">
        <v>121</v>
      </c>
      <c r="H2459" s="13" t="s">
        <v>40</v>
      </c>
      <c r="I2459" s="12">
        <v>2025</v>
      </c>
      <c r="J2459" s="13" t="s">
        <v>122</v>
      </c>
      <c r="K2459" s="12">
        <v>9785961498004</v>
      </c>
      <c r="L2459" s="13" t="s">
        <v>123</v>
      </c>
      <c r="M2459" s="12">
        <v>400</v>
      </c>
      <c r="N2459" s="14">
        <v>0.37</v>
      </c>
      <c r="O2459" s="12">
        <v>140</v>
      </c>
      <c r="P2459" s="12">
        <v>210</v>
      </c>
      <c r="Q2459" s="12">
        <v>6</v>
      </c>
      <c r="R2459" s="13" t="s">
        <v>43</v>
      </c>
      <c r="S2459" s="13"/>
      <c r="T2459" s="15">
        <v>2000</v>
      </c>
      <c r="U2459" s="13" t="s">
        <v>44</v>
      </c>
      <c r="V2459" s="13" t="s">
        <v>45</v>
      </c>
      <c r="W2459" s="12">
        <v>20</v>
      </c>
      <c r="X2459" s="33" t="str">
        <f>HYPERLINK("https://www.alpinabook.ru/catalog/book-krylya-na-dvoikh","ссылка на книгу")</f>
        <v>ссылка на книгу</v>
      </c>
      <c r="Y2459" s="34" t="str">
        <f>HYPERLINK("https://api-enni.alpina.ru/FilePrivilegesApproval/864","https://api-enni.alpina.ru/FilePrivilegesApproval/864")</f>
        <v>https://api-enni.alpina.ru/FilePrivilegesApproval/864</v>
      </c>
      <c r="Z2459" s="13" t="s">
        <v>70</v>
      </c>
      <c r="AT2459" s="1">
        <f t="shared" si="470"/>
        <v>0</v>
      </c>
      <c r="AU2459" s="1">
        <f t="shared" si="471"/>
        <v>0</v>
      </c>
      <c r="AV2459" s="1">
        <f t="shared" si="472"/>
        <v>0</v>
      </c>
      <c r="AW2459" s="1">
        <f t="shared" si="473"/>
        <v>0</v>
      </c>
      <c r="AX2459" s="1">
        <f t="shared" si="474"/>
        <v>0</v>
      </c>
    </row>
    <row r="2460" spans="1:50" s="1" customFormat="1" ht="24.95" customHeight="1" outlineLevel="3" x14ac:dyDescent="0.2">
      <c r="A2460" s="11"/>
      <c r="B2460" s="12">
        <v>390</v>
      </c>
      <c r="C2460" s="12">
        <v>640</v>
      </c>
      <c r="D2460" s="12">
        <v>28410</v>
      </c>
      <c r="E2460" s="13" t="s">
        <v>8019</v>
      </c>
      <c r="F2460" s="13" t="s">
        <v>8020</v>
      </c>
      <c r="G2460" s="13" t="s">
        <v>121</v>
      </c>
      <c r="H2460" s="13"/>
      <c r="I2460" s="12">
        <v>2024</v>
      </c>
      <c r="J2460" s="13" t="s">
        <v>8021</v>
      </c>
      <c r="K2460" s="12">
        <v>9785961488814</v>
      </c>
      <c r="L2460" s="13" t="s">
        <v>8022</v>
      </c>
      <c r="M2460" s="12">
        <v>144</v>
      </c>
      <c r="N2460" s="14">
        <v>0.15</v>
      </c>
      <c r="O2460" s="12">
        <v>140</v>
      </c>
      <c r="P2460" s="12">
        <v>210</v>
      </c>
      <c r="Q2460" s="12">
        <v>10</v>
      </c>
      <c r="R2460" s="13" t="s">
        <v>43</v>
      </c>
      <c r="S2460" s="13" t="s">
        <v>5925</v>
      </c>
      <c r="T2460" s="15">
        <v>3000</v>
      </c>
      <c r="U2460" s="13" t="s">
        <v>44</v>
      </c>
      <c r="V2460" s="13" t="s">
        <v>45</v>
      </c>
      <c r="W2460" s="12">
        <v>10</v>
      </c>
      <c r="X2460" s="33" t="str">
        <f>HYPERLINK("https://www.alpinabook.ru/catalog/book-kulachok","ссылка на книгу")</f>
        <v>ссылка на книгу</v>
      </c>
      <c r="Y2460" s="34" t="str">
        <f>HYPERLINK("https://api-enni.alpina.ru/FilePrivilegesApproval/335","https://api-enni.alpina.ru/FilePrivilegesApproval/335")</f>
        <v>https://api-enni.alpina.ru/FilePrivilegesApproval/335</v>
      </c>
      <c r="Z2460" s="13"/>
      <c r="AT2460" s="1">
        <f t="shared" si="470"/>
        <v>0</v>
      </c>
      <c r="AU2460" s="1">
        <f t="shared" si="471"/>
        <v>0</v>
      </c>
      <c r="AV2460" s="1">
        <f t="shared" si="472"/>
        <v>0</v>
      </c>
      <c r="AW2460" s="1">
        <f t="shared" si="473"/>
        <v>0</v>
      </c>
      <c r="AX2460" s="1">
        <f t="shared" si="474"/>
        <v>0</v>
      </c>
    </row>
    <row r="2461" spans="1:50" s="1" customFormat="1" ht="21.95" customHeight="1" outlineLevel="3" x14ac:dyDescent="0.2">
      <c r="A2461" s="11"/>
      <c r="B2461" s="12">
        <v>460</v>
      </c>
      <c r="C2461" s="12">
        <v>690</v>
      </c>
      <c r="D2461" s="12">
        <v>29190</v>
      </c>
      <c r="E2461" s="13" t="s">
        <v>8023</v>
      </c>
      <c r="F2461" s="13" t="s">
        <v>8024</v>
      </c>
      <c r="G2461" s="13" t="s">
        <v>121</v>
      </c>
      <c r="H2461" s="13" t="s">
        <v>40</v>
      </c>
      <c r="I2461" s="12">
        <v>2024</v>
      </c>
      <c r="J2461" s="13" t="s">
        <v>8025</v>
      </c>
      <c r="K2461" s="12">
        <v>9785961491708</v>
      </c>
      <c r="L2461" s="13" t="s">
        <v>8026</v>
      </c>
      <c r="M2461" s="12">
        <v>432</v>
      </c>
      <c r="N2461" s="14">
        <v>0.4</v>
      </c>
      <c r="O2461" s="12">
        <v>140</v>
      </c>
      <c r="P2461" s="12">
        <v>210</v>
      </c>
      <c r="Q2461" s="12">
        <v>4</v>
      </c>
      <c r="R2461" s="13" t="s">
        <v>43</v>
      </c>
      <c r="S2461" s="13"/>
      <c r="T2461" s="15">
        <v>3000</v>
      </c>
      <c r="U2461" s="13" t="s">
        <v>44</v>
      </c>
      <c r="V2461" s="13" t="s">
        <v>89</v>
      </c>
      <c r="W2461" s="12">
        <v>20</v>
      </c>
      <c r="X2461" s="33" t="str">
        <f>HYPERLINK("https://www.alpinabook.ru/catalog/book-lyubov-s-pervoy-serii","ссылка на книгу")</f>
        <v>ссылка на книгу</v>
      </c>
      <c r="Y2461" s="34" t="str">
        <f>HYPERLINK("","")</f>
        <v/>
      </c>
      <c r="Z2461" s="13"/>
      <c r="AT2461" s="1">
        <f t="shared" si="470"/>
        <v>0</v>
      </c>
      <c r="AU2461" s="1">
        <f t="shared" si="471"/>
        <v>0</v>
      </c>
      <c r="AV2461" s="1">
        <f t="shared" si="472"/>
        <v>0</v>
      </c>
      <c r="AW2461" s="1">
        <f t="shared" si="473"/>
        <v>0</v>
      </c>
      <c r="AX2461" s="1">
        <f t="shared" si="474"/>
        <v>0</v>
      </c>
    </row>
    <row r="2462" spans="1:50" s="1" customFormat="1" ht="24.95" customHeight="1" outlineLevel="3" x14ac:dyDescent="0.2">
      <c r="A2462" s="11"/>
      <c r="B2462" s="12">
        <v>420</v>
      </c>
      <c r="C2462" s="12">
        <v>640</v>
      </c>
      <c r="D2462" s="12">
        <v>27615</v>
      </c>
      <c r="E2462" s="13" t="s">
        <v>8027</v>
      </c>
      <c r="F2462" s="13" t="s">
        <v>8028</v>
      </c>
      <c r="G2462" s="13" t="s">
        <v>121</v>
      </c>
      <c r="H2462" s="13"/>
      <c r="I2462" s="12">
        <v>2024</v>
      </c>
      <c r="J2462" s="13" t="s">
        <v>8029</v>
      </c>
      <c r="K2462" s="12">
        <v>9785961485844</v>
      </c>
      <c r="L2462" s="13" t="s">
        <v>8030</v>
      </c>
      <c r="M2462" s="12">
        <v>256</v>
      </c>
      <c r="N2462" s="14">
        <v>0.25</v>
      </c>
      <c r="O2462" s="12">
        <v>140</v>
      </c>
      <c r="P2462" s="12">
        <v>210</v>
      </c>
      <c r="Q2462" s="12">
        <v>7</v>
      </c>
      <c r="R2462" s="13" t="s">
        <v>43</v>
      </c>
      <c r="S2462" s="13"/>
      <c r="T2462" s="15">
        <v>5000</v>
      </c>
      <c r="U2462" s="13" t="s">
        <v>44</v>
      </c>
      <c r="V2462" s="13" t="s">
        <v>45</v>
      </c>
      <c r="W2462" s="12">
        <v>10</v>
      </c>
      <c r="X2462" s="33" t="str">
        <f>HYPERLINK("https://www.alpinabook.ru/catalog/book-mama-ya-sela-slona","ссылка на книгу")</f>
        <v>ссылка на книгу</v>
      </c>
      <c r="Y2462" s="34" t="str">
        <f>HYPERLINK("https://api-enni.alpina.ru/FilePrivilegesApproval/335","https://api-enni.alpina.ru/FilePrivilegesApproval/335")</f>
        <v>https://api-enni.alpina.ru/FilePrivilegesApproval/335</v>
      </c>
      <c r="Z2462" s="13"/>
      <c r="AT2462" s="1">
        <f t="shared" si="470"/>
        <v>0</v>
      </c>
      <c r="AU2462" s="1">
        <f t="shared" si="471"/>
        <v>0</v>
      </c>
      <c r="AV2462" s="1">
        <f t="shared" si="472"/>
        <v>0</v>
      </c>
      <c r="AW2462" s="1">
        <f t="shared" si="473"/>
        <v>0</v>
      </c>
      <c r="AX2462" s="1">
        <f t="shared" si="474"/>
        <v>0</v>
      </c>
    </row>
    <row r="2463" spans="1:50" s="1" customFormat="1" ht="24.95" customHeight="1" outlineLevel="3" x14ac:dyDescent="0.2">
      <c r="A2463" s="11"/>
      <c r="B2463" s="12">
        <v>480</v>
      </c>
      <c r="C2463" s="12">
        <v>740</v>
      </c>
      <c r="D2463" s="12">
        <v>30323</v>
      </c>
      <c r="E2463" s="13" t="s">
        <v>8031</v>
      </c>
      <c r="F2463" s="13" t="s">
        <v>8032</v>
      </c>
      <c r="G2463" s="13" t="s">
        <v>121</v>
      </c>
      <c r="H2463" s="13"/>
      <c r="I2463" s="12">
        <v>2024</v>
      </c>
      <c r="J2463" s="13" t="s">
        <v>8033</v>
      </c>
      <c r="K2463" s="12">
        <v>9785961495171</v>
      </c>
      <c r="L2463" s="13" t="s">
        <v>8034</v>
      </c>
      <c r="M2463" s="12">
        <v>480</v>
      </c>
      <c r="N2463" s="14">
        <v>0.45</v>
      </c>
      <c r="O2463" s="12">
        <v>140</v>
      </c>
      <c r="P2463" s="12">
        <v>210</v>
      </c>
      <c r="Q2463" s="12">
        <v>4</v>
      </c>
      <c r="R2463" s="13" t="s">
        <v>43</v>
      </c>
      <c r="S2463" s="13"/>
      <c r="T2463" s="15">
        <v>3000</v>
      </c>
      <c r="U2463" s="13" t="s">
        <v>44</v>
      </c>
      <c r="V2463" s="13" t="s">
        <v>45</v>
      </c>
      <c r="W2463" s="12">
        <v>10</v>
      </c>
      <c r="X2463" s="33" t="str">
        <f>HYPERLINK("https://www.alpinabook.ru/catalog/book-mir-iz-prorekh-drugoy-gorod-mm","ссылка на книгу")</f>
        <v>ссылка на книгу</v>
      </c>
      <c r="Y2463" s="34" t="str">
        <f>HYPERLINK("https://api-enni.alpina.ru/FilePrivilegesApproval/709","https://api-enni.alpina.ru/FilePrivilegesApproval/709")</f>
        <v>https://api-enni.alpina.ru/FilePrivilegesApproval/709</v>
      </c>
      <c r="Z2463" s="13"/>
      <c r="AT2463" s="1">
        <f t="shared" si="470"/>
        <v>0</v>
      </c>
      <c r="AU2463" s="1">
        <f t="shared" si="471"/>
        <v>0</v>
      </c>
      <c r="AV2463" s="1">
        <f t="shared" si="472"/>
        <v>0</v>
      </c>
      <c r="AW2463" s="1">
        <f t="shared" si="473"/>
        <v>0</v>
      </c>
      <c r="AX2463" s="1">
        <f t="shared" si="474"/>
        <v>0</v>
      </c>
    </row>
    <row r="2464" spans="1:50" s="1" customFormat="1" ht="24.95" customHeight="1" outlineLevel="3" x14ac:dyDescent="0.2">
      <c r="A2464" s="11"/>
      <c r="B2464" s="12">
        <v>480</v>
      </c>
      <c r="C2464" s="12">
        <v>740</v>
      </c>
      <c r="D2464" s="12">
        <v>30324</v>
      </c>
      <c r="E2464" s="13" t="s">
        <v>8031</v>
      </c>
      <c r="F2464" s="13" t="s">
        <v>8035</v>
      </c>
      <c r="G2464" s="13" t="s">
        <v>121</v>
      </c>
      <c r="H2464" s="13"/>
      <c r="I2464" s="12">
        <v>2025</v>
      </c>
      <c r="J2464" s="13" t="s">
        <v>8036</v>
      </c>
      <c r="K2464" s="12">
        <v>9785961495188</v>
      </c>
      <c r="L2464" s="13" t="s">
        <v>8037</v>
      </c>
      <c r="M2464" s="12">
        <v>576</v>
      </c>
      <c r="N2464" s="14">
        <v>0.54</v>
      </c>
      <c r="O2464" s="12">
        <v>140</v>
      </c>
      <c r="P2464" s="12">
        <v>210</v>
      </c>
      <c r="Q2464" s="12">
        <v>4</v>
      </c>
      <c r="R2464" s="13" t="s">
        <v>43</v>
      </c>
      <c r="S2464" s="13"/>
      <c r="T2464" s="15">
        <v>3000</v>
      </c>
      <c r="U2464" s="13" t="s">
        <v>44</v>
      </c>
      <c r="V2464" s="13" t="s">
        <v>45</v>
      </c>
      <c r="W2464" s="12">
        <v>10</v>
      </c>
      <c r="X2464" s="33" t="str">
        <f>HYPERLINK("https://www.alpinabook.ru/catalog/book-mir-iz-prorekh-inye-zemli-mm","ссылка на книгу")</f>
        <v>ссылка на книгу</v>
      </c>
      <c r="Y2464" s="34" t="str">
        <f>HYPERLINK("https://api-enni.alpina.ru/FilePrivilegesApproval/709","https://api-enni.alpina.ru/FilePrivilegesApproval/709")</f>
        <v>https://api-enni.alpina.ru/FilePrivilegesApproval/709</v>
      </c>
      <c r="Z2464" s="13" t="s">
        <v>431</v>
      </c>
      <c r="AT2464" s="1">
        <f t="shared" si="470"/>
        <v>0</v>
      </c>
      <c r="AU2464" s="1">
        <f t="shared" si="471"/>
        <v>0</v>
      </c>
      <c r="AV2464" s="1">
        <f t="shared" si="472"/>
        <v>0</v>
      </c>
      <c r="AW2464" s="1">
        <f t="shared" si="473"/>
        <v>0</v>
      </c>
      <c r="AX2464" s="1">
        <f t="shared" si="474"/>
        <v>0</v>
      </c>
    </row>
    <row r="2465" spans="1:50" s="1" customFormat="1" ht="24.95" customHeight="1" outlineLevel="3" x14ac:dyDescent="0.2">
      <c r="A2465" s="11"/>
      <c r="B2465" s="12">
        <v>420</v>
      </c>
      <c r="C2465" s="12">
        <v>640</v>
      </c>
      <c r="D2465" s="12">
        <v>30322</v>
      </c>
      <c r="E2465" s="13" t="s">
        <v>8031</v>
      </c>
      <c r="F2465" s="13" t="s">
        <v>8038</v>
      </c>
      <c r="G2465" s="13" t="s">
        <v>121</v>
      </c>
      <c r="H2465" s="13"/>
      <c r="I2465" s="12">
        <v>2024</v>
      </c>
      <c r="J2465" s="13" t="s">
        <v>8039</v>
      </c>
      <c r="K2465" s="12">
        <v>9785961495164</v>
      </c>
      <c r="L2465" s="13" t="s">
        <v>8040</v>
      </c>
      <c r="M2465" s="12">
        <v>448</v>
      </c>
      <c r="N2465" s="14">
        <v>0.42</v>
      </c>
      <c r="O2465" s="12">
        <v>140</v>
      </c>
      <c r="P2465" s="12">
        <v>210</v>
      </c>
      <c r="Q2465" s="12">
        <v>5</v>
      </c>
      <c r="R2465" s="13" t="s">
        <v>43</v>
      </c>
      <c r="S2465" s="13"/>
      <c r="T2465" s="15">
        <v>3000</v>
      </c>
      <c r="U2465" s="13" t="s">
        <v>44</v>
      </c>
      <c r="V2465" s="13" t="s">
        <v>45</v>
      </c>
      <c r="W2465" s="12">
        <v>10</v>
      </c>
      <c r="X2465" s="33" t="str">
        <f>HYPERLINK("https://www.alpinabook.ru/catalog/book-mir-iz-prorekh-novye-pravila","ссылка на книгу")</f>
        <v>ссылка на книгу</v>
      </c>
      <c r="Y2465" s="34" t="str">
        <f>HYPERLINK("https://api-enni.alpina.ru/FilePrivilegesApproval/699","https://api-enni.alpina.ru/FilePrivilegesApproval/699")</f>
        <v>https://api-enni.alpina.ru/FilePrivilegesApproval/699</v>
      </c>
      <c r="Z2465" s="13"/>
      <c r="AT2465" s="1">
        <f t="shared" si="470"/>
        <v>0</v>
      </c>
      <c r="AU2465" s="1">
        <f t="shared" si="471"/>
        <v>0</v>
      </c>
      <c r="AV2465" s="1">
        <f t="shared" si="472"/>
        <v>0</v>
      </c>
      <c r="AW2465" s="1">
        <f t="shared" si="473"/>
        <v>0</v>
      </c>
      <c r="AX2465" s="1">
        <f t="shared" si="474"/>
        <v>0</v>
      </c>
    </row>
    <row r="2466" spans="1:50" s="1" customFormat="1" ht="24.95" customHeight="1" outlineLevel="3" x14ac:dyDescent="0.2">
      <c r="A2466" s="11"/>
      <c r="B2466" s="12">
        <v>550</v>
      </c>
      <c r="C2466" s="12">
        <v>790</v>
      </c>
      <c r="D2466" s="12">
        <v>30022</v>
      </c>
      <c r="E2466" s="13" t="s">
        <v>8041</v>
      </c>
      <c r="F2466" s="13" t="s">
        <v>8042</v>
      </c>
      <c r="G2466" s="13" t="s">
        <v>121</v>
      </c>
      <c r="H2466" s="13" t="s">
        <v>40</v>
      </c>
      <c r="I2466" s="12">
        <v>2025</v>
      </c>
      <c r="J2466" s="13" t="s">
        <v>8043</v>
      </c>
      <c r="K2466" s="12">
        <v>9785961494617</v>
      </c>
      <c r="L2466" s="13" t="s">
        <v>8044</v>
      </c>
      <c r="M2466" s="12">
        <v>448</v>
      </c>
      <c r="N2466" s="14">
        <v>0.42</v>
      </c>
      <c r="O2466" s="12">
        <v>140</v>
      </c>
      <c r="P2466" s="12">
        <v>210</v>
      </c>
      <c r="Q2466" s="12">
        <v>4</v>
      </c>
      <c r="R2466" s="13" t="s">
        <v>43</v>
      </c>
      <c r="S2466" s="13"/>
      <c r="T2466" s="15">
        <v>2000</v>
      </c>
      <c r="U2466" s="13" t="s">
        <v>44</v>
      </c>
      <c r="V2466" s="13" t="s">
        <v>89</v>
      </c>
      <c r="W2466" s="12">
        <v>10</v>
      </c>
      <c r="X2466" s="33" t="str">
        <f>HYPERLINK("https://www.alpinabook.ru/catalog/book-molchanie-mezhdu-nami","ссылка на книгу")</f>
        <v>ссылка на книгу</v>
      </c>
      <c r="Y2466" s="34" t="str">
        <f>HYPERLINK("https://api-enni.alpina.ru/FilePrivilegesApproval/791","https://api-enni.alpina.ru/FilePrivilegesApproval/791")</f>
        <v>https://api-enni.alpina.ru/FilePrivilegesApproval/791</v>
      </c>
      <c r="Z2466" s="13"/>
      <c r="AT2466" s="1">
        <f t="shared" si="470"/>
        <v>0</v>
      </c>
      <c r="AU2466" s="1">
        <f t="shared" si="471"/>
        <v>0</v>
      </c>
      <c r="AV2466" s="1">
        <f t="shared" si="472"/>
        <v>0</v>
      </c>
      <c r="AW2466" s="1">
        <f t="shared" si="473"/>
        <v>0</v>
      </c>
      <c r="AX2466" s="1">
        <f t="shared" si="474"/>
        <v>0</v>
      </c>
    </row>
    <row r="2467" spans="1:50" s="1" customFormat="1" ht="24.95" customHeight="1" outlineLevel="3" x14ac:dyDescent="0.2">
      <c r="A2467" s="11"/>
      <c r="B2467" s="12">
        <v>490</v>
      </c>
      <c r="C2467" s="12">
        <v>740</v>
      </c>
      <c r="D2467" s="12">
        <v>29261</v>
      </c>
      <c r="E2467" s="13" t="s">
        <v>7989</v>
      </c>
      <c r="F2467" s="13" t="s">
        <v>8045</v>
      </c>
      <c r="G2467" s="13" t="s">
        <v>121</v>
      </c>
      <c r="H2467" s="13" t="s">
        <v>40</v>
      </c>
      <c r="I2467" s="12">
        <v>2024</v>
      </c>
      <c r="J2467" s="13" t="s">
        <v>8046</v>
      </c>
      <c r="K2467" s="12">
        <v>9785961491906</v>
      </c>
      <c r="L2467" s="13" t="s">
        <v>8047</v>
      </c>
      <c r="M2467" s="12">
        <v>368</v>
      </c>
      <c r="N2467" s="14">
        <v>0.35</v>
      </c>
      <c r="O2467" s="12">
        <v>150</v>
      </c>
      <c r="P2467" s="12">
        <v>210</v>
      </c>
      <c r="Q2467" s="12">
        <v>4</v>
      </c>
      <c r="R2467" s="13" t="s">
        <v>43</v>
      </c>
      <c r="S2467" s="13"/>
      <c r="T2467" s="15">
        <v>3000</v>
      </c>
      <c r="U2467" s="13" t="s">
        <v>44</v>
      </c>
      <c r="V2467" s="13" t="s">
        <v>89</v>
      </c>
      <c r="W2467" s="12">
        <v>10</v>
      </c>
      <c r="X2467" s="33" t="str">
        <f>HYPERLINK("https://www.alpinabook.ru/catalog/book-moya-bezuprechnaya-zhizn","ссылка на книгу")</f>
        <v>ссылка на книгу</v>
      </c>
      <c r="Y2467" s="34" t="str">
        <f>HYPERLINK("https://api-enni.alpina.ru/FilePrivilegesApproval/492","https://api-enni.alpina.ru/FilePrivilegesApproval/492")</f>
        <v>https://api-enni.alpina.ru/FilePrivilegesApproval/492</v>
      </c>
      <c r="Z2467" s="13"/>
      <c r="AT2467" s="1">
        <f t="shared" si="470"/>
        <v>0</v>
      </c>
      <c r="AU2467" s="1">
        <f t="shared" si="471"/>
        <v>0</v>
      </c>
      <c r="AV2467" s="1">
        <f t="shared" si="472"/>
        <v>0</v>
      </c>
      <c r="AW2467" s="1">
        <f t="shared" si="473"/>
        <v>0</v>
      </c>
      <c r="AX2467" s="1">
        <f t="shared" si="474"/>
        <v>0</v>
      </c>
    </row>
    <row r="2468" spans="1:50" s="1" customFormat="1" ht="24.95" customHeight="1" outlineLevel="3" x14ac:dyDescent="0.2">
      <c r="A2468" s="11"/>
      <c r="B2468" s="12">
        <v>390</v>
      </c>
      <c r="C2468" s="12">
        <v>640</v>
      </c>
      <c r="D2468" s="12">
        <v>29678</v>
      </c>
      <c r="E2468" s="13" t="s">
        <v>8048</v>
      </c>
      <c r="F2468" s="13" t="s">
        <v>8049</v>
      </c>
      <c r="G2468" s="13" t="s">
        <v>121</v>
      </c>
      <c r="H2468" s="13" t="s">
        <v>40</v>
      </c>
      <c r="I2468" s="12">
        <v>2024</v>
      </c>
      <c r="J2468" s="13" t="s">
        <v>8050</v>
      </c>
      <c r="K2468" s="12">
        <v>9785961493399</v>
      </c>
      <c r="L2468" s="13" t="s">
        <v>8051</v>
      </c>
      <c r="M2468" s="12">
        <v>240</v>
      </c>
      <c r="N2468" s="14">
        <v>0.23</v>
      </c>
      <c r="O2468" s="12">
        <v>140</v>
      </c>
      <c r="P2468" s="12">
        <v>210</v>
      </c>
      <c r="Q2468" s="12">
        <v>7</v>
      </c>
      <c r="R2468" s="13" t="s">
        <v>43</v>
      </c>
      <c r="S2468" s="13"/>
      <c r="T2468" s="15">
        <v>5000</v>
      </c>
      <c r="U2468" s="13" t="s">
        <v>44</v>
      </c>
      <c r="V2468" s="13" t="s">
        <v>45</v>
      </c>
      <c r="W2468" s="12">
        <v>10</v>
      </c>
      <c r="X2468" s="33" t="str">
        <f>HYPERLINK("https://www.alpinabook.ru/catalog/book-naydite-leylu-mm","ссылка на книгу")</f>
        <v>ссылка на книгу</v>
      </c>
      <c r="Y2468" s="34" t="str">
        <f>HYPERLINK("https://api-enni.alpina.ru/FilePrivilegesApproval/350","https://api-enni.alpina.ru/FilePrivilegesApproval/350")</f>
        <v>https://api-enni.alpina.ru/FilePrivilegesApproval/350</v>
      </c>
      <c r="Z2468" s="13"/>
      <c r="AT2468" s="1">
        <f t="shared" si="470"/>
        <v>0</v>
      </c>
      <c r="AU2468" s="1">
        <f t="shared" si="471"/>
        <v>0</v>
      </c>
      <c r="AV2468" s="1">
        <f t="shared" si="472"/>
        <v>0</v>
      </c>
      <c r="AW2468" s="1">
        <f t="shared" si="473"/>
        <v>0</v>
      </c>
      <c r="AX2468" s="1">
        <f t="shared" si="474"/>
        <v>0</v>
      </c>
    </row>
    <row r="2469" spans="1:50" s="1" customFormat="1" ht="24.95" customHeight="1" outlineLevel="3" x14ac:dyDescent="0.2">
      <c r="A2469" s="11"/>
      <c r="B2469" s="12">
        <v>420</v>
      </c>
      <c r="C2469" s="12">
        <v>640</v>
      </c>
      <c r="D2469" s="12">
        <v>29649</v>
      </c>
      <c r="E2469" s="13" t="s">
        <v>8052</v>
      </c>
      <c r="F2469" s="13" t="s">
        <v>8053</v>
      </c>
      <c r="G2469" s="13" t="s">
        <v>121</v>
      </c>
      <c r="H2469" s="13" t="s">
        <v>40</v>
      </c>
      <c r="I2469" s="12">
        <v>2024</v>
      </c>
      <c r="J2469" s="13" t="s">
        <v>8054</v>
      </c>
      <c r="K2469" s="12">
        <v>9785961493313</v>
      </c>
      <c r="L2469" s="13" t="s">
        <v>8055</v>
      </c>
      <c r="M2469" s="12">
        <v>256</v>
      </c>
      <c r="N2469" s="14">
        <v>0.25</v>
      </c>
      <c r="O2469" s="12">
        <v>140</v>
      </c>
      <c r="P2469" s="12">
        <v>210</v>
      </c>
      <c r="Q2469" s="12">
        <v>8</v>
      </c>
      <c r="R2469" s="13" t="s">
        <v>43</v>
      </c>
      <c r="S2469" s="13"/>
      <c r="T2469" s="15">
        <v>3000</v>
      </c>
      <c r="U2469" s="13" t="s">
        <v>44</v>
      </c>
      <c r="V2469" s="13" t="s">
        <v>45</v>
      </c>
      <c r="W2469" s="12">
        <v>10</v>
      </c>
      <c r="X2469" s="33" t="str">
        <f>HYPERLINK("https://www.alpinabook.ru/catalog/book-neveroyatnoe-prestuplenie-khudi-rozena","ссылка на книгу")</f>
        <v>ссылка на книгу</v>
      </c>
      <c r="Y2469" s="34" t="str">
        <f>HYPERLINK("https://api-enni.alpina.ru/FilePrivilegesApproval/513","https://api-enni.alpina.ru/FilePrivilegesApproval/513")</f>
        <v>https://api-enni.alpina.ru/FilePrivilegesApproval/513</v>
      </c>
      <c r="Z2469" s="13"/>
      <c r="AT2469" s="1">
        <f t="shared" ref="AT2469:AT2491" si="475">IF($A2469&lt;&gt;0,1,0)</f>
        <v>0</v>
      </c>
      <c r="AU2469" s="1">
        <f t="shared" ref="AU2469:AU2491" si="476">$A2469*$B2469</f>
        <v>0</v>
      </c>
      <c r="AV2469" s="1">
        <f t="shared" ref="AV2469:AV2491" si="477">$A2469*$N2469</f>
        <v>0</v>
      </c>
      <c r="AW2469" s="1">
        <f t="shared" ref="AW2469:AW2491" si="478">IF($Q2469=0,0,INT($A2469/$Q2469))</f>
        <v>0</v>
      </c>
      <c r="AX2469" s="1">
        <f t="shared" ref="AX2469:AX2491" si="479">$A2469-$AW2469*$Q2469</f>
        <v>0</v>
      </c>
    </row>
    <row r="2470" spans="1:50" s="1" customFormat="1" ht="24.95" customHeight="1" outlineLevel="3" x14ac:dyDescent="0.2">
      <c r="A2470" s="11"/>
      <c r="B2470" s="12">
        <v>530</v>
      </c>
      <c r="C2470" s="12">
        <v>530</v>
      </c>
      <c r="D2470" s="12">
        <v>27241</v>
      </c>
      <c r="E2470" s="13" t="s">
        <v>7175</v>
      </c>
      <c r="F2470" s="13" t="s">
        <v>8056</v>
      </c>
      <c r="G2470" s="13" t="s">
        <v>163</v>
      </c>
      <c r="H2470" s="13"/>
      <c r="I2470" s="12">
        <v>2023</v>
      </c>
      <c r="J2470" s="13" t="s">
        <v>8057</v>
      </c>
      <c r="K2470" s="12">
        <v>9785961484281</v>
      </c>
      <c r="L2470" s="13" t="s">
        <v>8058</v>
      </c>
      <c r="M2470" s="12">
        <v>352</v>
      </c>
      <c r="N2470" s="14">
        <v>0.5</v>
      </c>
      <c r="O2470" s="12">
        <v>140</v>
      </c>
      <c r="P2470" s="12">
        <v>210</v>
      </c>
      <c r="Q2470" s="12">
        <v>10</v>
      </c>
      <c r="R2470" s="13" t="s">
        <v>82</v>
      </c>
      <c r="S2470" s="13" t="s">
        <v>5925</v>
      </c>
      <c r="T2470" s="15">
        <v>2000</v>
      </c>
      <c r="U2470" s="13" t="s">
        <v>52</v>
      </c>
      <c r="V2470" s="13" t="s">
        <v>59</v>
      </c>
      <c r="W2470" s="12">
        <v>10</v>
      </c>
      <c r="X2470" s="33" t="str">
        <f>HYPERLINK("https://www.alpinabook.ru/catalog/book-neprevzoydennye-demony-vtorogo-goroda","ссылка на книгу")</f>
        <v>ссылка на книгу</v>
      </c>
      <c r="Y2470" s="34" t="str">
        <f>HYPERLINK("https://api-enni.alpina.ru/FileCertificateProject/60","https://api-enni.alpina.ru/FileCertificateProject/60")</f>
        <v>https://api-enni.alpina.ru/FileCertificateProject/60</v>
      </c>
      <c r="Z2470" s="13"/>
      <c r="AT2470" s="1">
        <f t="shared" si="475"/>
        <v>0</v>
      </c>
      <c r="AU2470" s="1">
        <f t="shared" si="476"/>
        <v>0</v>
      </c>
      <c r="AV2470" s="1">
        <f t="shared" si="477"/>
        <v>0</v>
      </c>
      <c r="AW2470" s="1">
        <f t="shared" si="478"/>
        <v>0</v>
      </c>
      <c r="AX2470" s="1">
        <f t="shared" si="479"/>
        <v>0</v>
      </c>
    </row>
    <row r="2471" spans="1:50" s="1" customFormat="1" ht="24.95" customHeight="1" outlineLevel="3" x14ac:dyDescent="0.2">
      <c r="A2471" s="11"/>
      <c r="B2471" s="12">
        <v>530</v>
      </c>
      <c r="C2471" s="12">
        <v>530</v>
      </c>
      <c r="D2471" s="12">
        <v>27240</v>
      </c>
      <c r="E2471" s="13" t="s">
        <v>7175</v>
      </c>
      <c r="F2471" s="13" t="s">
        <v>8059</v>
      </c>
      <c r="G2471" s="13" t="s">
        <v>163</v>
      </c>
      <c r="H2471" s="13"/>
      <c r="I2471" s="12">
        <v>2023</v>
      </c>
      <c r="J2471" s="13" t="s">
        <v>8060</v>
      </c>
      <c r="K2471" s="12">
        <v>9785961484274</v>
      </c>
      <c r="L2471" s="13" t="s">
        <v>8061</v>
      </c>
      <c r="M2471" s="12">
        <v>224</v>
      </c>
      <c r="N2471" s="14">
        <v>0.37</v>
      </c>
      <c r="O2471" s="12">
        <v>130</v>
      </c>
      <c r="P2471" s="12">
        <v>210</v>
      </c>
      <c r="Q2471" s="12">
        <v>16</v>
      </c>
      <c r="R2471" s="13" t="s">
        <v>82</v>
      </c>
      <c r="S2471" s="13" t="s">
        <v>5925</v>
      </c>
      <c r="T2471" s="15">
        <v>2000</v>
      </c>
      <c r="U2471" s="13" t="s">
        <v>52</v>
      </c>
      <c r="V2471" s="13" t="s">
        <v>59</v>
      </c>
      <c r="W2471" s="12">
        <v>10</v>
      </c>
      <c r="X2471" s="33" t="str">
        <f>HYPERLINK("https://www.alpinabook.ru/catalog/book-neprevzoydennye-spyashchaya-karakatitsa","ссылка на книгу")</f>
        <v>ссылка на книгу</v>
      </c>
      <c r="Y2471" s="34" t="str">
        <f>HYPERLINK("https://api-enni.alpina.ru/FileCertificateProject/59","https://api-enni.alpina.ru/FileCertificateProject/59")</f>
        <v>https://api-enni.alpina.ru/FileCertificateProject/59</v>
      </c>
      <c r="Z2471" s="13"/>
      <c r="AT2471" s="1">
        <f t="shared" si="475"/>
        <v>0</v>
      </c>
      <c r="AU2471" s="1">
        <f t="shared" si="476"/>
        <v>0</v>
      </c>
      <c r="AV2471" s="1">
        <f t="shared" si="477"/>
        <v>0</v>
      </c>
      <c r="AW2471" s="1">
        <f t="shared" si="478"/>
        <v>0</v>
      </c>
      <c r="AX2471" s="1">
        <f t="shared" si="479"/>
        <v>0</v>
      </c>
    </row>
    <row r="2472" spans="1:50" s="1" customFormat="1" ht="24.95" customHeight="1" outlineLevel="3" x14ac:dyDescent="0.2">
      <c r="A2472" s="11"/>
      <c r="B2472" s="12">
        <v>420</v>
      </c>
      <c r="C2472" s="12">
        <v>640</v>
      </c>
      <c r="D2472" s="12">
        <v>29648</v>
      </c>
      <c r="E2472" s="13" t="s">
        <v>8062</v>
      </c>
      <c r="F2472" s="13" t="s">
        <v>8063</v>
      </c>
      <c r="G2472" s="13" t="s">
        <v>121</v>
      </c>
      <c r="H2472" s="13" t="s">
        <v>40</v>
      </c>
      <c r="I2472" s="12">
        <v>2024</v>
      </c>
      <c r="J2472" s="13" t="s">
        <v>8064</v>
      </c>
      <c r="K2472" s="12">
        <v>9785961493306</v>
      </c>
      <c r="L2472" s="13" t="s">
        <v>8065</v>
      </c>
      <c r="M2472" s="12">
        <v>320</v>
      </c>
      <c r="N2472" s="14">
        <v>0.3</v>
      </c>
      <c r="O2472" s="12">
        <v>150</v>
      </c>
      <c r="P2472" s="12">
        <v>210</v>
      </c>
      <c r="Q2472" s="12">
        <v>5</v>
      </c>
      <c r="R2472" s="13" t="s">
        <v>43</v>
      </c>
      <c r="S2472" s="13"/>
      <c r="T2472" s="15">
        <v>3000</v>
      </c>
      <c r="U2472" s="13" t="s">
        <v>44</v>
      </c>
      <c r="V2472" s="13" t="s">
        <v>45</v>
      </c>
      <c r="W2472" s="12">
        <v>10</v>
      </c>
      <c r="X2472" s="33" t="str">
        <f>HYPERLINK("https://www.alpinabook.ru/catalog/book-otrazheniya-nashego-doma","ссылка на книгу")</f>
        <v>ссылка на книгу</v>
      </c>
      <c r="Y2472" s="34" t="str">
        <f>HYPERLINK("https://api-enni.alpina.ru/FilePrivilegesApproval/420","https://api-enni.alpina.ru/FilePrivilegesApproval/420")</f>
        <v>https://api-enni.alpina.ru/FilePrivilegesApproval/420</v>
      </c>
      <c r="Z2472" s="13"/>
      <c r="AT2472" s="1">
        <f t="shared" si="475"/>
        <v>0</v>
      </c>
      <c r="AU2472" s="1">
        <f t="shared" si="476"/>
        <v>0</v>
      </c>
      <c r="AV2472" s="1">
        <f t="shared" si="477"/>
        <v>0</v>
      </c>
      <c r="AW2472" s="1">
        <f t="shared" si="478"/>
        <v>0</v>
      </c>
      <c r="AX2472" s="1">
        <f t="shared" si="479"/>
        <v>0</v>
      </c>
    </row>
    <row r="2473" spans="1:50" s="1" customFormat="1" ht="24.95" customHeight="1" outlineLevel="3" x14ac:dyDescent="0.2">
      <c r="A2473" s="11"/>
      <c r="B2473" s="12">
        <v>420</v>
      </c>
      <c r="C2473" s="12">
        <v>640</v>
      </c>
      <c r="D2473" s="12">
        <v>32047</v>
      </c>
      <c r="E2473" s="13" t="s">
        <v>8066</v>
      </c>
      <c r="F2473" s="13" t="s">
        <v>8067</v>
      </c>
      <c r="G2473" s="13" t="s">
        <v>121</v>
      </c>
      <c r="H2473" s="13"/>
      <c r="I2473" s="12">
        <v>2025</v>
      </c>
      <c r="J2473" s="13" t="s">
        <v>8068</v>
      </c>
      <c r="K2473" s="12">
        <v>9785006301016</v>
      </c>
      <c r="L2473" s="13" t="s">
        <v>8069</v>
      </c>
      <c r="M2473" s="12">
        <v>480</v>
      </c>
      <c r="N2473" s="14">
        <v>0.45</v>
      </c>
      <c r="O2473" s="12">
        <v>140</v>
      </c>
      <c r="P2473" s="12">
        <v>210</v>
      </c>
      <c r="Q2473" s="12">
        <v>4</v>
      </c>
      <c r="R2473" s="13" t="s">
        <v>43</v>
      </c>
      <c r="S2473" s="13"/>
      <c r="T2473" s="15">
        <v>3000</v>
      </c>
      <c r="U2473" s="13" t="s">
        <v>44</v>
      </c>
      <c r="V2473" s="13" t="s">
        <v>89</v>
      </c>
      <c r="W2473" s="12">
        <v>10</v>
      </c>
      <c r="X2473" s="33" t="str">
        <f>HYPERLINK("https://www.alpinabook.ru/catalog/book-po-vetru","ссылка на книгу")</f>
        <v>ссылка на книгу</v>
      </c>
      <c r="Y2473" s="34" t="str">
        <f>HYPERLINK("https://api-enni.alpina.ru/FilePrivilegesApproval/791","https://api-enni.alpina.ru/FilePrivilegesApproval/791")</f>
        <v>https://api-enni.alpina.ru/FilePrivilegesApproval/791</v>
      </c>
      <c r="Z2473" s="13"/>
      <c r="AT2473" s="1">
        <f t="shared" si="475"/>
        <v>0</v>
      </c>
      <c r="AU2473" s="1">
        <f t="shared" si="476"/>
        <v>0</v>
      </c>
      <c r="AV2473" s="1">
        <f t="shared" si="477"/>
        <v>0</v>
      </c>
      <c r="AW2473" s="1">
        <f t="shared" si="478"/>
        <v>0</v>
      </c>
      <c r="AX2473" s="1">
        <f t="shared" si="479"/>
        <v>0</v>
      </c>
    </row>
    <row r="2474" spans="1:50" s="1" customFormat="1" ht="24.95" customHeight="1" outlineLevel="3" x14ac:dyDescent="0.2">
      <c r="A2474" s="11"/>
      <c r="B2474" s="12">
        <v>590</v>
      </c>
      <c r="C2474" s="12">
        <v>840</v>
      </c>
      <c r="D2474" s="12">
        <v>28159</v>
      </c>
      <c r="E2474" s="13" t="s">
        <v>8070</v>
      </c>
      <c r="F2474" s="13" t="s">
        <v>8071</v>
      </c>
      <c r="G2474" s="13" t="s">
        <v>121</v>
      </c>
      <c r="H2474" s="13"/>
      <c r="I2474" s="12">
        <v>2025</v>
      </c>
      <c r="J2474" s="13" t="s">
        <v>8072</v>
      </c>
      <c r="K2474" s="12">
        <v>9785961487459</v>
      </c>
      <c r="L2474" s="13" t="s">
        <v>8073</v>
      </c>
      <c r="M2474" s="12">
        <v>496</v>
      </c>
      <c r="N2474" s="14">
        <v>0.47</v>
      </c>
      <c r="O2474" s="12">
        <v>140</v>
      </c>
      <c r="P2474" s="12">
        <v>210</v>
      </c>
      <c r="Q2474" s="12">
        <v>4</v>
      </c>
      <c r="R2474" s="13" t="s">
        <v>43</v>
      </c>
      <c r="S2474" s="13"/>
      <c r="T2474" s="15">
        <v>3000</v>
      </c>
      <c r="U2474" s="13" t="s">
        <v>44</v>
      </c>
      <c r="V2474" s="13" t="s">
        <v>45</v>
      </c>
      <c r="W2474" s="12">
        <v>10</v>
      </c>
      <c r="X2474" s="33" t="str">
        <f>HYPERLINK("https://www.alpinabook.ru/catalog/book-poymat-okean","ссылка на книгу")</f>
        <v>ссылка на книгу</v>
      </c>
      <c r="Y2474" s="34" t="str">
        <f>HYPERLINK("https://api-enni.alpina.ru/FilePrivilegesApproval/335","https://api-enni.alpina.ru/FilePrivilegesApproval/335")</f>
        <v>https://api-enni.alpina.ru/FilePrivilegesApproval/335</v>
      </c>
      <c r="Z2474" s="13" t="s">
        <v>5340</v>
      </c>
      <c r="AT2474" s="1">
        <f t="shared" si="475"/>
        <v>0</v>
      </c>
      <c r="AU2474" s="1">
        <f t="shared" si="476"/>
        <v>0</v>
      </c>
      <c r="AV2474" s="1">
        <f t="shared" si="477"/>
        <v>0</v>
      </c>
      <c r="AW2474" s="1">
        <f t="shared" si="478"/>
        <v>0</v>
      </c>
      <c r="AX2474" s="1">
        <f t="shared" si="479"/>
        <v>0</v>
      </c>
    </row>
    <row r="2475" spans="1:50" s="1" customFormat="1" ht="24.95" customHeight="1" outlineLevel="3" x14ac:dyDescent="0.2">
      <c r="A2475" s="11"/>
      <c r="B2475" s="12">
        <v>580</v>
      </c>
      <c r="C2475" s="12">
        <v>840</v>
      </c>
      <c r="D2475" s="12">
        <v>29479</v>
      </c>
      <c r="E2475" s="13" t="s">
        <v>8074</v>
      </c>
      <c r="F2475" s="13" t="s">
        <v>8075</v>
      </c>
      <c r="G2475" s="13" t="s">
        <v>121</v>
      </c>
      <c r="H2475" s="13" t="s">
        <v>200</v>
      </c>
      <c r="I2475" s="12">
        <v>2025</v>
      </c>
      <c r="J2475" s="13" t="s">
        <v>8076</v>
      </c>
      <c r="K2475" s="12">
        <v>9785961492750</v>
      </c>
      <c r="L2475" s="13" t="s">
        <v>8077</v>
      </c>
      <c r="M2475" s="12">
        <v>608</v>
      </c>
      <c r="N2475" s="14">
        <v>0.56999999999999995</v>
      </c>
      <c r="O2475" s="12">
        <v>140</v>
      </c>
      <c r="P2475" s="12">
        <v>210</v>
      </c>
      <c r="Q2475" s="12">
        <v>4</v>
      </c>
      <c r="R2475" s="13" t="s">
        <v>43</v>
      </c>
      <c r="S2475" s="13"/>
      <c r="T2475" s="15">
        <v>3000</v>
      </c>
      <c r="U2475" s="13" t="s">
        <v>44</v>
      </c>
      <c r="V2475" s="13" t="s">
        <v>89</v>
      </c>
      <c r="W2475" s="12">
        <v>10</v>
      </c>
      <c r="X2475" s="33" t="str">
        <f>HYPERLINK("https://www.alpinabook.ru/catalog/book-poka-ne-zakonchatsya-zvezdy","ссылка на книгу")</f>
        <v>ссылка на книгу</v>
      </c>
      <c r="Y2475" s="34" t="str">
        <f>HYPERLINK("https://api-enni.alpina.ru/FilePrivilegesApproval/791","https://api-enni.alpina.ru/FilePrivilegesApproval/791")</f>
        <v>https://api-enni.alpina.ru/FilePrivilegesApproval/791</v>
      </c>
      <c r="Z2475" s="13" t="s">
        <v>194</v>
      </c>
      <c r="AT2475" s="1">
        <f t="shared" si="475"/>
        <v>0</v>
      </c>
      <c r="AU2475" s="1">
        <f t="shared" si="476"/>
        <v>0</v>
      </c>
      <c r="AV2475" s="1">
        <f t="shared" si="477"/>
        <v>0</v>
      </c>
      <c r="AW2475" s="1">
        <f t="shared" si="478"/>
        <v>0</v>
      </c>
      <c r="AX2475" s="1">
        <f t="shared" si="479"/>
        <v>0</v>
      </c>
    </row>
    <row r="2476" spans="1:50" s="1" customFormat="1" ht="24.95" customHeight="1" outlineLevel="3" x14ac:dyDescent="0.2">
      <c r="A2476" s="11"/>
      <c r="B2476" s="12">
        <v>390</v>
      </c>
      <c r="C2476" s="12">
        <v>640</v>
      </c>
      <c r="D2476" s="12">
        <v>29100</v>
      </c>
      <c r="E2476" s="13" t="s">
        <v>8078</v>
      </c>
      <c r="F2476" s="13" t="s">
        <v>8079</v>
      </c>
      <c r="G2476" s="13" t="s">
        <v>121</v>
      </c>
      <c r="H2476" s="13" t="s">
        <v>40</v>
      </c>
      <c r="I2476" s="12">
        <v>2024</v>
      </c>
      <c r="J2476" s="13" t="s">
        <v>8080</v>
      </c>
      <c r="K2476" s="12">
        <v>9785961491449</v>
      </c>
      <c r="L2476" s="13" t="s">
        <v>8081</v>
      </c>
      <c r="M2476" s="12">
        <v>272</v>
      </c>
      <c r="N2476" s="14">
        <v>0.26</v>
      </c>
      <c r="O2476" s="12">
        <v>140</v>
      </c>
      <c r="P2476" s="12">
        <v>210</v>
      </c>
      <c r="Q2476" s="12">
        <v>6</v>
      </c>
      <c r="R2476" s="13" t="s">
        <v>43</v>
      </c>
      <c r="S2476" s="13"/>
      <c r="T2476" s="15">
        <v>5000</v>
      </c>
      <c r="U2476" s="13" t="s">
        <v>44</v>
      </c>
      <c r="V2476" s="13" t="s">
        <v>89</v>
      </c>
      <c r="W2476" s="12">
        <v>10</v>
      </c>
      <c r="X2476" s="33" t="str">
        <f>HYPERLINK("https://www.alpinabook.ru/catalog/book-posle-etogo","ссылка на книгу")</f>
        <v>ссылка на книгу</v>
      </c>
      <c r="Y2476" s="34" t="str">
        <f>HYPERLINK("https://api-enni.alpina.ru/FilePrivilegesApproval/413","https://api-enni.alpina.ru/FilePrivilegesApproval/413")</f>
        <v>https://api-enni.alpina.ru/FilePrivilegesApproval/413</v>
      </c>
      <c r="Z2476" s="13"/>
      <c r="AT2476" s="1">
        <f t="shared" si="475"/>
        <v>0</v>
      </c>
      <c r="AU2476" s="1">
        <f t="shared" si="476"/>
        <v>0</v>
      </c>
      <c r="AV2476" s="1">
        <f t="shared" si="477"/>
        <v>0</v>
      </c>
      <c r="AW2476" s="1">
        <f t="shared" si="478"/>
        <v>0</v>
      </c>
      <c r="AX2476" s="1">
        <f t="shared" si="479"/>
        <v>0</v>
      </c>
    </row>
    <row r="2477" spans="1:50" s="1" customFormat="1" ht="24.95" customHeight="1" outlineLevel="3" x14ac:dyDescent="0.2">
      <c r="A2477" s="11"/>
      <c r="B2477" s="12">
        <v>500</v>
      </c>
      <c r="C2477" s="12">
        <v>740</v>
      </c>
      <c r="D2477" s="12">
        <v>30259</v>
      </c>
      <c r="E2477" s="13" t="s">
        <v>8082</v>
      </c>
      <c r="F2477" s="13" t="s">
        <v>8083</v>
      </c>
      <c r="G2477" s="13" t="s">
        <v>121</v>
      </c>
      <c r="H2477" s="13" t="s">
        <v>7794</v>
      </c>
      <c r="I2477" s="12">
        <v>2025</v>
      </c>
      <c r="J2477" s="13" t="s">
        <v>8084</v>
      </c>
      <c r="K2477" s="12">
        <v>9785961495072</v>
      </c>
      <c r="L2477" s="13" t="s">
        <v>8085</v>
      </c>
      <c r="M2477" s="12">
        <v>240</v>
      </c>
      <c r="N2477" s="14">
        <v>0.38</v>
      </c>
      <c r="O2477" s="12">
        <v>150</v>
      </c>
      <c r="P2477" s="12">
        <v>210</v>
      </c>
      <c r="Q2477" s="12">
        <v>16</v>
      </c>
      <c r="R2477" s="13" t="s">
        <v>43</v>
      </c>
      <c r="S2477" s="13"/>
      <c r="T2477" s="15">
        <v>1000</v>
      </c>
      <c r="U2477" s="13" t="s">
        <v>44</v>
      </c>
      <c r="V2477" s="13" t="s">
        <v>89</v>
      </c>
      <c r="W2477" s="12">
        <v>10</v>
      </c>
      <c r="X2477" s="33" t="str">
        <f>HYPERLINK("https://www.alpinabook.ru/catalog/book-pokhoronnyy-kontsert","ссылка на книгу")</f>
        <v>ссылка на книгу</v>
      </c>
      <c r="Y2477" s="34" t="str">
        <f>HYPERLINK("https://api-enni.alpina.ru/FilePrivilegesApproval/709","https://api-enni.alpina.ru/FilePrivilegesApproval/709")</f>
        <v>https://api-enni.alpina.ru/FilePrivilegesApproval/709</v>
      </c>
      <c r="Z2477" s="13"/>
      <c r="AT2477" s="1">
        <f t="shared" si="475"/>
        <v>0</v>
      </c>
      <c r="AU2477" s="1">
        <f t="shared" si="476"/>
        <v>0</v>
      </c>
      <c r="AV2477" s="1">
        <f t="shared" si="477"/>
        <v>0</v>
      </c>
      <c r="AW2477" s="1">
        <f t="shared" si="478"/>
        <v>0</v>
      </c>
      <c r="AX2477" s="1">
        <f t="shared" si="479"/>
        <v>0</v>
      </c>
    </row>
    <row r="2478" spans="1:50" s="1" customFormat="1" ht="24.95" customHeight="1" outlineLevel="3" x14ac:dyDescent="0.2">
      <c r="A2478" s="11"/>
      <c r="B2478" s="12">
        <v>540</v>
      </c>
      <c r="C2478" s="12">
        <v>790</v>
      </c>
      <c r="D2478" s="12">
        <v>31499</v>
      </c>
      <c r="E2478" s="13" t="s">
        <v>8086</v>
      </c>
      <c r="F2478" s="13" t="s">
        <v>8087</v>
      </c>
      <c r="G2478" s="13" t="s">
        <v>121</v>
      </c>
      <c r="H2478" s="13"/>
      <c r="I2478" s="12">
        <v>2025</v>
      </c>
      <c r="J2478" s="13" t="s">
        <v>8088</v>
      </c>
      <c r="K2478" s="12">
        <v>9785961499063</v>
      </c>
      <c r="L2478" s="13" t="s">
        <v>8089</v>
      </c>
      <c r="M2478" s="12">
        <v>272</v>
      </c>
      <c r="N2478" s="14">
        <v>0.24</v>
      </c>
      <c r="O2478" s="12">
        <v>140</v>
      </c>
      <c r="P2478" s="12">
        <v>210</v>
      </c>
      <c r="Q2478" s="12">
        <v>8</v>
      </c>
      <c r="R2478" s="13" t="s">
        <v>43</v>
      </c>
      <c r="S2478" s="13"/>
      <c r="T2478" s="15">
        <v>5000</v>
      </c>
      <c r="U2478" s="13" t="s">
        <v>44</v>
      </c>
      <c r="V2478" s="13" t="s">
        <v>89</v>
      </c>
      <c r="W2478" s="12">
        <v>10</v>
      </c>
      <c r="X2478" s="33" t="str">
        <f>HYPERLINK("https://www.alpinabook.ru/catalog/book-ptitsa","ссылка на книгу")</f>
        <v>ссылка на книгу</v>
      </c>
      <c r="Y2478" s="34" t="str">
        <f>HYPERLINK("https://api-enni.alpina.ru/FilePrivilegesApproval/768","https://api-enni.alpina.ru/FilePrivilegesApproval/768")</f>
        <v>https://api-enni.alpina.ru/FilePrivilegesApproval/768</v>
      </c>
      <c r="Z2478" s="13" t="s">
        <v>8090</v>
      </c>
      <c r="AT2478" s="1">
        <f t="shared" si="475"/>
        <v>0</v>
      </c>
      <c r="AU2478" s="1">
        <f t="shared" si="476"/>
        <v>0</v>
      </c>
      <c r="AV2478" s="1">
        <f t="shared" si="477"/>
        <v>0</v>
      </c>
      <c r="AW2478" s="1">
        <f t="shared" si="478"/>
        <v>0</v>
      </c>
      <c r="AX2478" s="1">
        <f t="shared" si="479"/>
        <v>0</v>
      </c>
    </row>
    <row r="2479" spans="1:50" s="1" customFormat="1" ht="24.95" customHeight="1" outlineLevel="3" x14ac:dyDescent="0.2">
      <c r="A2479" s="11"/>
      <c r="B2479" s="12">
        <v>530</v>
      </c>
      <c r="C2479" s="12">
        <v>530</v>
      </c>
      <c r="D2479" s="12">
        <v>26902</v>
      </c>
      <c r="E2479" s="13" t="s">
        <v>8031</v>
      </c>
      <c r="F2479" s="13" t="s">
        <v>8091</v>
      </c>
      <c r="G2479" s="13" t="s">
        <v>163</v>
      </c>
      <c r="H2479" s="13"/>
      <c r="I2479" s="12">
        <v>2023</v>
      </c>
      <c r="J2479" s="13" t="s">
        <v>8092</v>
      </c>
      <c r="K2479" s="12">
        <v>9785961483260</v>
      </c>
      <c r="L2479" s="13" t="s">
        <v>8093</v>
      </c>
      <c r="M2479" s="12">
        <v>432</v>
      </c>
      <c r="N2479" s="14">
        <v>0.5</v>
      </c>
      <c r="O2479" s="12">
        <v>140</v>
      </c>
      <c r="P2479" s="12">
        <v>210</v>
      </c>
      <c r="Q2479" s="12">
        <v>10</v>
      </c>
      <c r="R2479" s="13" t="s">
        <v>82</v>
      </c>
      <c r="S2479" s="13" t="s">
        <v>5925</v>
      </c>
      <c r="T2479" s="15">
        <v>3000</v>
      </c>
      <c r="U2479" s="13" t="s">
        <v>52</v>
      </c>
      <c r="V2479" s="13" t="s">
        <v>59</v>
      </c>
      <c r="W2479" s="12">
        <v>10</v>
      </c>
      <c r="X2479" s="33" t="str">
        <f>HYPERLINK("https://www.alpinabook.ru/catalog/book-pustaya","ссылка на книгу")</f>
        <v>ссылка на книгу</v>
      </c>
      <c r="Y2479" s="34" t="str">
        <f>HYPERLINK("https://api-enni.alpina.ru/FileCertificateProject/631","https://api-enni.alpina.ru/FileCertificateProject/631")</f>
        <v>https://api-enni.alpina.ru/FileCertificateProject/631</v>
      </c>
      <c r="Z2479" s="13"/>
      <c r="AT2479" s="1">
        <f t="shared" si="475"/>
        <v>0</v>
      </c>
      <c r="AU2479" s="1">
        <f t="shared" si="476"/>
        <v>0</v>
      </c>
      <c r="AV2479" s="1">
        <f t="shared" si="477"/>
        <v>0</v>
      </c>
      <c r="AW2479" s="1">
        <f t="shared" si="478"/>
        <v>0</v>
      </c>
      <c r="AX2479" s="1">
        <f t="shared" si="479"/>
        <v>0</v>
      </c>
    </row>
    <row r="2480" spans="1:50" s="1" customFormat="1" ht="24.95" customHeight="1" outlineLevel="3" x14ac:dyDescent="0.2">
      <c r="A2480" s="11"/>
      <c r="B2480" s="12">
        <v>650</v>
      </c>
      <c r="C2480" s="12">
        <v>940</v>
      </c>
      <c r="D2480" s="12">
        <v>32048</v>
      </c>
      <c r="E2480" s="13" t="s">
        <v>8094</v>
      </c>
      <c r="F2480" s="13" t="s">
        <v>8095</v>
      </c>
      <c r="G2480" s="13" t="s">
        <v>121</v>
      </c>
      <c r="H2480" s="13"/>
      <c r="I2480" s="12">
        <v>2025</v>
      </c>
      <c r="J2480" s="13" t="s">
        <v>8096</v>
      </c>
      <c r="K2480" s="12">
        <v>9785006301023</v>
      </c>
      <c r="L2480" s="13" t="s">
        <v>8097</v>
      </c>
      <c r="M2480" s="12">
        <v>528</v>
      </c>
      <c r="N2480" s="14">
        <v>0.49</v>
      </c>
      <c r="O2480" s="12">
        <v>140</v>
      </c>
      <c r="P2480" s="12">
        <v>210</v>
      </c>
      <c r="Q2480" s="12">
        <v>4</v>
      </c>
      <c r="R2480" s="13" t="s">
        <v>43</v>
      </c>
      <c r="S2480" s="13"/>
      <c r="T2480" s="15">
        <v>1000</v>
      </c>
      <c r="U2480" s="13" t="s">
        <v>44</v>
      </c>
      <c r="V2480" s="13" t="s">
        <v>45</v>
      </c>
      <c r="W2480" s="12">
        <v>10</v>
      </c>
      <c r="X2480" s="33" t="str">
        <f>HYPERLINK("","ссылка на книгу")</f>
        <v>ссылка на книгу</v>
      </c>
      <c r="Y2480" s="34" t="str">
        <f>HYPERLINK("https://api-enni.alpina.ru/FilePrivilegesApproval/853","https://api-enni.alpina.ru/FilePrivilegesApproval/853")</f>
        <v>https://api-enni.alpina.ru/FilePrivilegesApproval/853</v>
      </c>
      <c r="Z2480" s="13" t="s">
        <v>101</v>
      </c>
      <c r="AT2480" s="1">
        <f t="shared" si="475"/>
        <v>0</v>
      </c>
      <c r="AU2480" s="1">
        <f t="shared" si="476"/>
        <v>0</v>
      </c>
      <c r="AV2480" s="1">
        <f t="shared" si="477"/>
        <v>0</v>
      </c>
      <c r="AW2480" s="1">
        <f t="shared" si="478"/>
        <v>0</v>
      </c>
      <c r="AX2480" s="1">
        <f t="shared" si="479"/>
        <v>0</v>
      </c>
    </row>
    <row r="2481" spans="1:50" s="1" customFormat="1" ht="24.95" customHeight="1" outlineLevel="3" x14ac:dyDescent="0.2">
      <c r="A2481" s="11"/>
      <c r="B2481" s="12">
        <v>500</v>
      </c>
      <c r="C2481" s="12">
        <v>740</v>
      </c>
      <c r="D2481" s="12">
        <v>28725</v>
      </c>
      <c r="E2481" s="13" t="s">
        <v>8098</v>
      </c>
      <c r="F2481" s="13" t="s">
        <v>8099</v>
      </c>
      <c r="G2481" s="13" t="s">
        <v>121</v>
      </c>
      <c r="H2481" s="13" t="s">
        <v>40</v>
      </c>
      <c r="I2481" s="12">
        <v>2024</v>
      </c>
      <c r="J2481" s="13" t="s">
        <v>8100</v>
      </c>
      <c r="K2481" s="12">
        <v>9785961489859</v>
      </c>
      <c r="L2481" s="13" t="s">
        <v>8101</v>
      </c>
      <c r="M2481" s="12">
        <v>512</v>
      </c>
      <c r="N2481" s="14">
        <v>0.67</v>
      </c>
      <c r="O2481" s="12">
        <v>140</v>
      </c>
      <c r="P2481" s="12">
        <v>210</v>
      </c>
      <c r="Q2481" s="12">
        <v>4</v>
      </c>
      <c r="R2481" s="13" t="s">
        <v>43</v>
      </c>
      <c r="S2481" s="13" t="s">
        <v>5925</v>
      </c>
      <c r="T2481" s="15">
        <v>5000</v>
      </c>
      <c r="U2481" s="13" t="s">
        <v>44</v>
      </c>
      <c r="V2481" s="13" t="s">
        <v>89</v>
      </c>
      <c r="W2481" s="12">
        <v>10</v>
      </c>
      <c r="X2481" s="33" t="str">
        <f>HYPERLINK("https://www.alpinabook.ru/catalog/book-revell","ссылка на книгу")</f>
        <v>ссылка на книгу</v>
      </c>
      <c r="Y2481" s="34" t="str">
        <f>HYPERLINK("https://api-enni.alpina.ru/FilePrivilegesApproval/413","https://api-enni.alpina.ru/FilePrivilegesApproval/413")</f>
        <v>https://api-enni.alpina.ru/FilePrivilegesApproval/413</v>
      </c>
      <c r="Z2481" s="13"/>
      <c r="AT2481" s="1">
        <f t="shared" si="475"/>
        <v>0</v>
      </c>
      <c r="AU2481" s="1">
        <f t="shared" si="476"/>
        <v>0</v>
      </c>
      <c r="AV2481" s="1">
        <f t="shared" si="477"/>
        <v>0</v>
      </c>
      <c r="AW2481" s="1">
        <f t="shared" si="478"/>
        <v>0</v>
      </c>
      <c r="AX2481" s="1">
        <f t="shared" si="479"/>
        <v>0</v>
      </c>
    </row>
    <row r="2482" spans="1:50" s="1" customFormat="1" ht="21.95" customHeight="1" outlineLevel="3" x14ac:dyDescent="0.2">
      <c r="A2482" s="11"/>
      <c r="B2482" s="12">
        <v>690</v>
      </c>
      <c r="C2482" s="12">
        <v>990</v>
      </c>
      <c r="D2482" s="12">
        <v>30477</v>
      </c>
      <c r="E2482" s="13" t="s">
        <v>198</v>
      </c>
      <c r="F2482" s="13" t="s">
        <v>199</v>
      </c>
      <c r="G2482" s="13" t="s">
        <v>121</v>
      </c>
      <c r="H2482" s="13" t="s">
        <v>200</v>
      </c>
      <c r="I2482" s="12">
        <v>2025</v>
      </c>
      <c r="J2482" s="13" t="s">
        <v>201</v>
      </c>
      <c r="K2482" s="12">
        <v>9785961495621</v>
      </c>
      <c r="L2482" s="13" t="s">
        <v>202</v>
      </c>
      <c r="M2482" s="12">
        <v>480</v>
      </c>
      <c r="N2482" s="14">
        <v>0.45</v>
      </c>
      <c r="O2482" s="12">
        <v>140</v>
      </c>
      <c r="P2482" s="12">
        <v>210</v>
      </c>
      <c r="Q2482" s="12">
        <v>4</v>
      </c>
      <c r="R2482" s="13" t="s">
        <v>43</v>
      </c>
      <c r="S2482" s="13"/>
      <c r="T2482" s="15">
        <v>3000</v>
      </c>
      <c r="U2482" s="13" t="s">
        <v>44</v>
      </c>
      <c r="V2482" s="13" t="s">
        <v>89</v>
      </c>
      <c r="W2482" s="12">
        <v>20</v>
      </c>
      <c r="X2482" s="33" t="str">
        <f>HYPERLINK("https://www.alpinabook.ru/catalog/book-serdtse-vne-igry","ссылка на книгу")</f>
        <v>ссылка на книгу</v>
      </c>
      <c r="Y2482" s="34" t="str">
        <f>HYPERLINK("","")</f>
        <v/>
      </c>
      <c r="Z2482" s="13" t="s">
        <v>132</v>
      </c>
      <c r="AT2482" s="1">
        <f t="shared" si="475"/>
        <v>0</v>
      </c>
      <c r="AU2482" s="1">
        <f t="shared" si="476"/>
        <v>0</v>
      </c>
      <c r="AV2482" s="1">
        <f t="shared" si="477"/>
        <v>0</v>
      </c>
      <c r="AW2482" s="1">
        <f t="shared" si="478"/>
        <v>0</v>
      </c>
      <c r="AX2482" s="1">
        <f t="shared" si="479"/>
        <v>0</v>
      </c>
    </row>
    <row r="2483" spans="1:50" s="1" customFormat="1" ht="24.95" customHeight="1" outlineLevel="3" x14ac:dyDescent="0.2">
      <c r="A2483" s="11"/>
      <c r="B2483" s="12">
        <v>420</v>
      </c>
      <c r="C2483" s="12">
        <v>640</v>
      </c>
      <c r="D2483" s="12">
        <v>29099</v>
      </c>
      <c r="E2483" s="13" t="s">
        <v>8015</v>
      </c>
      <c r="F2483" s="13" t="s">
        <v>8102</v>
      </c>
      <c r="G2483" s="13" t="s">
        <v>121</v>
      </c>
      <c r="H2483" s="13" t="s">
        <v>200</v>
      </c>
      <c r="I2483" s="12">
        <v>2024</v>
      </c>
      <c r="J2483" s="13" t="s">
        <v>8103</v>
      </c>
      <c r="K2483" s="12">
        <v>9785961491432</v>
      </c>
      <c r="L2483" s="13" t="s">
        <v>8104</v>
      </c>
      <c r="M2483" s="12">
        <v>384</v>
      </c>
      <c r="N2483" s="14">
        <v>0.36</v>
      </c>
      <c r="O2483" s="12">
        <v>140</v>
      </c>
      <c r="P2483" s="12">
        <v>210</v>
      </c>
      <c r="Q2483" s="12">
        <v>4</v>
      </c>
      <c r="R2483" s="13" t="s">
        <v>43</v>
      </c>
      <c r="S2483" s="13"/>
      <c r="T2483" s="15">
        <v>5000</v>
      </c>
      <c r="U2483" s="13" t="s">
        <v>44</v>
      </c>
      <c r="V2483" s="13" t="s">
        <v>45</v>
      </c>
      <c r="W2483" s="12">
        <v>10</v>
      </c>
      <c r="X2483" s="33" t="str">
        <f>HYPERLINK("https://www.alpinabook.ru/catalog/book-syshchiki-s-nankin-roud","ссылка на книгу")</f>
        <v>ссылка на книгу</v>
      </c>
      <c r="Y2483" s="34" t="str">
        <f>HYPERLINK("https://api-enni.alpina.ru/FilePrivilegesApproval/335","https://api-enni.alpina.ru/FilePrivilegesApproval/335")</f>
        <v>https://api-enni.alpina.ru/FilePrivilegesApproval/335</v>
      </c>
      <c r="Z2483" s="13"/>
      <c r="AT2483" s="1">
        <f t="shared" si="475"/>
        <v>0</v>
      </c>
      <c r="AU2483" s="1">
        <f t="shared" si="476"/>
        <v>0</v>
      </c>
      <c r="AV2483" s="1">
        <f t="shared" si="477"/>
        <v>0</v>
      </c>
      <c r="AW2483" s="1">
        <f t="shared" si="478"/>
        <v>0</v>
      </c>
      <c r="AX2483" s="1">
        <f t="shared" si="479"/>
        <v>0</v>
      </c>
    </row>
    <row r="2484" spans="1:50" s="1" customFormat="1" ht="21.95" customHeight="1" outlineLevel="3" x14ac:dyDescent="0.2">
      <c r="A2484" s="11"/>
      <c r="B2484" s="12">
        <v>600</v>
      </c>
      <c r="C2484" s="12">
        <v>890</v>
      </c>
      <c r="D2484" s="12">
        <v>32049</v>
      </c>
      <c r="E2484" s="13" t="s">
        <v>218</v>
      </c>
      <c r="F2484" s="13" t="s">
        <v>219</v>
      </c>
      <c r="G2484" s="13" t="s">
        <v>121</v>
      </c>
      <c r="H2484" s="13" t="s">
        <v>40</v>
      </c>
      <c r="I2484" s="12">
        <v>2025</v>
      </c>
      <c r="J2484" s="13" t="s">
        <v>220</v>
      </c>
      <c r="K2484" s="12">
        <v>9785006301030</v>
      </c>
      <c r="L2484" s="13" t="s">
        <v>221</v>
      </c>
      <c r="M2484" s="12">
        <v>400</v>
      </c>
      <c r="N2484" s="14">
        <v>0.38</v>
      </c>
      <c r="O2484" s="12">
        <v>140</v>
      </c>
      <c r="P2484" s="12">
        <v>210</v>
      </c>
      <c r="Q2484" s="12">
        <v>6</v>
      </c>
      <c r="R2484" s="13" t="s">
        <v>43</v>
      </c>
      <c r="S2484" s="13"/>
      <c r="T2484" s="15">
        <v>3000</v>
      </c>
      <c r="U2484" s="13" t="s">
        <v>44</v>
      </c>
      <c r="V2484" s="13" t="s">
        <v>89</v>
      </c>
      <c r="W2484" s="12">
        <v>20</v>
      </c>
      <c r="X2484" s="33" t="str">
        <f>HYPERLINK("https://www.alpinabook.ru/catalog/book-takaya-smeshnaya-lyubov","ссылка на книгу")</f>
        <v>ссылка на книгу</v>
      </c>
      <c r="Y2484" s="34" t="str">
        <f>HYPERLINK("","")</f>
        <v/>
      </c>
      <c r="Z2484" s="13" t="s">
        <v>132</v>
      </c>
      <c r="AT2484" s="1">
        <f t="shared" si="475"/>
        <v>0</v>
      </c>
      <c r="AU2484" s="1">
        <f t="shared" si="476"/>
        <v>0</v>
      </c>
      <c r="AV2484" s="1">
        <f t="shared" si="477"/>
        <v>0</v>
      </c>
      <c r="AW2484" s="1">
        <f t="shared" si="478"/>
        <v>0</v>
      </c>
      <c r="AX2484" s="1">
        <f t="shared" si="479"/>
        <v>0</v>
      </c>
    </row>
    <row r="2485" spans="1:50" s="1" customFormat="1" ht="21.95" customHeight="1" outlineLevel="3" x14ac:dyDescent="0.2">
      <c r="A2485" s="11"/>
      <c r="B2485" s="12">
        <v>550</v>
      </c>
      <c r="C2485" s="12">
        <v>790</v>
      </c>
      <c r="D2485" s="12">
        <v>32782</v>
      </c>
      <c r="E2485" s="13" t="s">
        <v>226</v>
      </c>
      <c r="F2485" s="13" t="s">
        <v>227</v>
      </c>
      <c r="G2485" s="13" t="s">
        <v>121</v>
      </c>
      <c r="H2485" s="13"/>
      <c r="I2485" s="12">
        <v>2025</v>
      </c>
      <c r="J2485" s="13" t="s">
        <v>228</v>
      </c>
      <c r="K2485" s="12">
        <v>9785006303058</v>
      </c>
      <c r="L2485" s="13" t="s">
        <v>229</v>
      </c>
      <c r="M2485" s="12">
        <v>304</v>
      </c>
      <c r="N2485" s="14">
        <v>0.28999999999999998</v>
      </c>
      <c r="O2485" s="12">
        <v>140</v>
      </c>
      <c r="P2485" s="12">
        <v>210</v>
      </c>
      <c r="Q2485" s="12">
        <v>6</v>
      </c>
      <c r="R2485" s="13" t="s">
        <v>43</v>
      </c>
      <c r="S2485" s="13"/>
      <c r="T2485" s="15">
        <v>3000</v>
      </c>
      <c r="U2485" s="13" t="s">
        <v>44</v>
      </c>
      <c r="V2485" s="13" t="s">
        <v>89</v>
      </c>
      <c r="W2485" s="12">
        <v>20</v>
      </c>
      <c r="X2485" s="33" t="str">
        <f>HYPERLINK("https://www.alpinabook.ru/catalog/book-tru-kraym-svidaniya","ссылка на книгу")</f>
        <v>ссылка на книгу</v>
      </c>
      <c r="Y2485" s="34" t="str">
        <f>HYPERLINK("","")</f>
        <v/>
      </c>
      <c r="Z2485" s="13" t="s">
        <v>132</v>
      </c>
      <c r="AT2485" s="1">
        <f t="shared" si="475"/>
        <v>0</v>
      </c>
      <c r="AU2485" s="1">
        <f t="shared" si="476"/>
        <v>0</v>
      </c>
      <c r="AV2485" s="1">
        <f t="shared" si="477"/>
        <v>0</v>
      </c>
      <c r="AW2485" s="1">
        <f t="shared" si="478"/>
        <v>0</v>
      </c>
      <c r="AX2485" s="1">
        <f t="shared" si="479"/>
        <v>0</v>
      </c>
    </row>
    <row r="2486" spans="1:50" s="1" customFormat="1" ht="24.95" customHeight="1" outlineLevel="3" x14ac:dyDescent="0.2">
      <c r="A2486" s="11"/>
      <c r="B2486" s="12">
        <v>500</v>
      </c>
      <c r="C2486" s="12">
        <v>740</v>
      </c>
      <c r="D2486" s="12">
        <v>30327</v>
      </c>
      <c r="E2486" s="13" t="s">
        <v>8105</v>
      </c>
      <c r="F2486" s="13" t="s">
        <v>8106</v>
      </c>
      <c r="G2486" s="13" t="s">
        <v>121</v>
      </c>
      <c r="H2486" s="13" t="s">
        <v>8107</v>
      </c>
      <c r="I2486" s="12">
        <v>2025</v>
      </c>
      <c r="J2486" s="13" t="s">
        <v>8108</v>
      </c>
      <c r="K2486" s="12">
        <v>9785961495218</v>
      </c>
      <c r="L2486" s="13" t="s">
        <v>8109</v>
      </c>
      <c r="M2486" s="12">
        <v>144</v>
      </c>
      <c r="N2486" s="14">
        <v>0.23</v>
      </c>
      <c r="O2486" s="12">
        <v>140</v>
      </c>
      <c r="P2486" s="12">
        <v>210</v>
      </c>
      <c r="Q2486" s="12">
        <v>24</v>
      </c>
      <c r="R2486" s="13" t="s">
        <v>43</v>
      </c>
      <c r="S2486" s="13"/>
      <c r="T2486" s="15">
        <v>3000</v>
      </c>
      <c r="U2486" s="13" t="s">
        <v>44</v>
      </c>
      <c r="V2486" s="13" t="s">
        <v>45</v>
      </c>
      <c r="W2486" s="12">
        <v>10</v>
      </c>
      <c r="X2486" s="33" t="str">
        <f>HYPERLINK("https://www.alpinabook.ru/catalog/book-falshivaya-izmena-1","ссылка на книгу")</f>
        <v>ссылка на книгу</v>
      </c>
      <c r="Y2486" s="34" t="str">
        <f>HYPERLINK("https://api-enni.alpina.ru/FilePrivilegesApproval/709","https://api-enni.alpina.ru/FilePrivilegesApproval/709")</f>
        <v>https://api-enni.alpina.ru/FilePrivilegesApproval/709</v>
      </c>
      <c r="Z2486" s="13" t="s">
        <v>46</v>
      </c>
      <c r="AT2486" s="1">
        <f t="shared" si="475"/>
        <v>0</v>
      </c>
      <c r="AU2486" s="1">
        <f t="shared" si="476"/>
        <v>0</v>
      </c>
      <c r="AV2486" s="1">
        <f t="shared" si="477"/>
        <v>0</v>
      </c>
      <c r="AW2486" s="1">
        <f t="shared" si="478"/>
        <v>0</v>
      </c>
      <c r="AX2486" s="1">
        <f t="shared" si="479"/>
        <v>0</v>
      </c>
    </row>
    <row r="2487" spans="1:50" s="1" customFormat="1" ht="24.95" customHeight="1" outlineLevel="3" x14ac:dyDescent="0.2">
      <c r="A2487" s="11"/>
      <c r="B2487" s="12">
        <v>580</v>
      </c>
      <c r="C2487" s="12">
        <v>840</v>
      </c>
      <c r="D2487" s="12">
        <v>29480</v>
      </c>
      <c r="E2487" s="13" t="s">
        <v>8110</v>
      </c>
      <c r="F2487" s="13" t="s">
        <v>8111</v>
      </c>
      <c r="G2487" s="13" t="s">
        <v>121</v>
      </c>
      <c r="H2487" s="13" t="s">
        <v>40</v>
      </c>
      <c r="I2487" s="12">
        <v>2025</v>
      </c>
      <c r="J2487" s="13" t="s">
        <v>8112</v>
      </c>
      <c r="K2487" s="12">
        <v>9785961492767</v>
      </c>
      <c r="L2487" s="13" t="s">
        <v>8113</v>
      </c>
      <c r="M2487" s="12">
        <v>496</v>
      </c>
      <c r="N2487" s="14">
        <v>0.47</v>
      </c>
      <c r="O2487" s="12">
        <v>140</v>
      </c>
      <c r="P2487" s="12">
        <v>210</v>
      </c>
      <c r="Q2487" s="12">
        <v>4</v>
      </c>
      <c r="R2487" s="13" t="s">
        <v>43</v>
      </c>
      <c r="S2487" s="13"/>
      <c r="T2487" s="15">
        <v>2000</v>
      </c>
      <c r="U2487" s="13" t="s">
        <v>44</v>
      </c>
      <c r="V2487" s="13" t="s">
        <v>89</v>
      </c>
      <c r="W2487" s="12">
        <v>10</v>
      </c>
      <c r="X2487" s="33" t="str">
        <f>HYPERLINK("https://www.alpinabook.ru/catalog/book-fleshbek-mechty","ссылка на книгу")</f>
        <v>ссылка на книгу</v>
      </c>
      <c r="Y2487" s="34" t="str">
        <f>HYPERLINK("https://api-enni.alpina.ru/FilePrivilegesApproval/780","https://api-enni.alpina.ru/FilePrivilegesApproval/780")</f>
        <v>https://api-enni.alpina.ru/FilePrivilegesApproval/780</v>
      </c>
      <c r="Z2487" s="13" t="s">
        <v>118</v>
      </c>
      <c r="AT2487" s="1">
        <f t="shared" si="475"/>
        <v>0</v>
      </c>
      <c r="AU2487" s="1">
        <f t="shared" si="476"/>
        <v>0</v>
      </c>
      <c r="AV2487" s="1">
        <f t="shared" si="477"/>
        <v>0</v>
      </c>
      <c r="AW2487" s="1">
        <f t="shared" si="478"/>
        <v>0</v>
      </c>
      <c r="AX2487" s="1">
        <f t="shared" si="479"/>
        <v>0</v>
      </c>
    </row>
    <row r="2488" spans="1:50" s="1" customFormat="1" ht="24.95" customHeight="1" outlineLevel="3" x14ac:dyDescent="0.2">
      <c r="A2488" s="11"/>
      <c r="B2488" s="12">
        <v>390</v>
      </c>
      <c r="C2488" s="12">
        <v>640</v>
      </c>
      <c r="D2488" s="12">
        <v>29466</v>
      </c>
      <c r="E2488" s="13" t="s">
        <v>8114</v>
      </c>
      <c r="F2488" s="13" t="s">
        <v>8115</v>
      </c>
      <c r="G2488" s="13" t="s">
        <v>121</v>
      </c>
      <c r="H2488" s="13" t="s">
        <v>40</v>
      </c>
      <c r="I2488" s="12">
        <v>2024</v>
      </c>
      <c r="J2488" s="13" t="s">
        <v>8116</v>
      </c>
      <c r="K2488" s="12">
        <v>9785961489507</v>
      </c>
      <c r="L2488" s="13" t="s">
        <v>8117</v>
      </c>
      <c r="M2488" s="12">
        <v>336</v>
      </c>
      <c r="N2488" s="14">
        <v>0.36</v>
      </c>
      <c r="O2488" s="12">
        <v>140</v>
      </c>
      <c r="P2488" s="12">
        <v>210</v>
      </c>
      <c r="Q2488" s="12">
        <v>5</v>
      </c>
      <c r="R2488" s="13" t="s">
        <v>43</v>
      </c>
      <c r="S2488" s="13"/>
      <c r="T2488" s="15">
        <v>3000</v>
      </c>
      <c r="U2488" s="13" t="s">
        <v>44</v>
      </c>
      <c r="V2488" s="13" t="s">
        <v>89</v>
      </c>
      <c r="W2488" s="12">
        <v>10</v>
      </c>
      <c r="X2488" s="33" t="str">
        <f>HYPERLINK("https://www.alpinabook.ru/catalog/book-furiya","ссылка на книгу")</f>
        <v>ссылка на книгу</v>
      </c>
      <c r="Y2488" s="34" t="str">
        <f>HYPERLINK("https://api-enni.alpina.ru/FilePrivilegesApproval/413","https://api-enni.alpina.ru/FilePrivilegesApproval/413")</f>
        <v>https://api-enni.alpina.ru/FilePrivilegesApproval/413</v>
      </c>
      <c r="Z2488" s="13"/>
      <c r="AT2488" s="1">
        <f t="shared" si="475"/>
        <v>0</v>
      </c>
      <c r="AU2488" s="1">
        <f t="shared" si="476"/>
        <v>0</v>
      </c>
      <c r="AV2488" s="1">
        <f t="shared" si="477"/>
        <v>0</v>
      </c>
      <c r="AW2488" s="1">
        <f t="shared" si="478"/>
        <v>0</v>
      </c>
      <c r="AX2488" s="1">
        <f t="shared" si="479"/>
        <v>0</v>
      </c>
    </row>
    <row r="2489" spans="1:50" s="1" customFormat="1" ht="24.95" customHeight="1" outlineLevel="3" x14ac:dyDescent="0.2">
      <c r="A2489" s="11"/>
      <c r="B2489" s="12">
        <v>530</v>
      </c>
      <c r="C2489" s="12">
        <v>790</v>
      </c>
      <c r="D2489" s="12">
        <v>27654</v>
      </c>
      <c r="E2489" s="13" t="s">
        <v>7167</v>
      </c>
      <c r="F2489" s="13" t="s">
        <v>8118</v>
      </c>
      <c r="G2489" s="13" t="s">
        <v>163</v>
      </c>
      <c r="H2489" s="13" t="s">
        <v>40</v>
      </c>
      <c r="I2489" s="12">
        <v>2023</v>
      </c>
      <c r="J2489" s="13" t="s">
        <v>8119</v>
      </c>
      <c r="K2489" s="12">
        <v>9785961485950</v>
      </c>
      <c r="L2489" s="13" t="s">
        <v>8120</v>
      </c>
      <c r="M2489" s="12">
        <v>415</v>
      </c>
      <c r="N2489" s="14">
        <v>0.3</v>
      </c>
      <c r="O2489" s="12">
        <v>130</v>
      </c>
      <c r="P2489" s="12">
        <v>200</v>
      </c>
      <c r="Q2489" s="12">
        <v>6</v>
      </c>
      <c r="R2489" s="13" t="s">
        <v>82</v>
      </c>
      <c r="S2489" s="13" t="s">
        <v>5925</v>
      </c>
      <c r="T2489" s="15">
        <v>5000</v>
      </c>
      <c r="U2489" s="13" t="s">
        <v>44</v>
      </c>
      <c r="V2489" s="13" t="s">
        <v>59</v>
      </c>
      <c r="W2489" s="12">
        <v>10</v>
      </c>
      <c r="X2489" s="33" t="str">
        <f>HYPERLINK("https://www.alpinabook.ru/catalog/book-shchepotka-magii","ссылка на книгу")</f>
        <v>ссылка на книгу</v>
      </c>
      <c r="Y2489" s="34" t="str">
        <f>HYPERLINK("https://api-enni.alpina.ru/FileCertificateProject/82","https://api-enni.alpina.ru/FileCertificateProject/82")</f>
        <v>https://api-enni.alpina.ru/FileCertificateProject/82</v>
      </c>
      <c r="Z2489" s="13"/>
      <c r="AT2489" s="1">
        <f t="shared" si="475"/>
        <v>0</v>
      </c>
      <c r="AU2489" s="1">
        <f t="shared" si="476"/>
        <v>0</v>
      </c>
      <c r="AV2489" s="1">
        <f t="shared" si="477"/>
        <v>0</v>
      </c>
      <c r="AW2489" s="1">
        <f t="shared" si="478"/>
        <v>0</v>
      </c>
      <c r="AX2489" s="1">
        <f t="shared" si="479"/>
        <v>0</v>
      </c>
    </row>
    <row r="2490" spans="1:50" s="1" customFormat="1" ht="24.95" customHeight="1" outlineLevel="3" x14ac:dyDescent="0.2">
      <c r="A2490" s="11"/>
      <c r="B2490" s="12">
        <v>420</v>
      </c>
      <c r="C2490" s="12">
        <v>640</v>
      </c>
      <c r="D2490" s="12">
        <v>30028</v>
      </c>
      <c r="E2490" s="13" t="s">
        <v>8121</v>
      </c>
      <c r="F2490" s="13" t="s">
        <v>8122</v>
      </c>
      <c r="G2490" s="13" t="s">
        <v>121</v>
      </c>
      <c r="H2490" s="13" t="s">
        <v>40</v>
      </c>
      <c r="I2490" s="12">
        <v>2024</v>
      </c>
      <c r="J2490" s="13" t="s">
        <v>8123</v>
      </c>
      <c r="K2490" s="12">
        <v>9785961494624</v>
      </c>
      <c r="L2490" s="13" t="s">
        <v>8124</v>
      </c>
      <c r="M2490" s="12">
        <v>432</v>
      </c>
      <c r="N2490" s="14">
        <v>0.41</v>
      </c>
      <c r="O2490" s="12">
        <v>150</v>
      </c>
      <c r="P2490" s="12">
        <v>210</v>
      </c>
      <c r="Q2490" s="12">
        <v>4</v>
      </c>
      <c r="R2490" s="13" t="s">
        <v>43</v>
      </c>
      <c r="S2490" s="13"/>
      <c r="T2490" s="15">
        <v>3000</v>
      </c>
      <c r="U2490" s="13" t="s">
        <v>44</v>
      </c>
      <c r="V2490" s="13" t="s">
        <v>45</v>
      </c>
      <c r="W2490" s="12">
        <v>10</v>
      </c>
      <c r="X2490" s="33" t="str">
        <f>HYPERLINK("https://www.alpinabook.ru/catalog/book-elektricheskoe-korolevstvo-mm","ссылка на книгу")</f>
        <v>ссылка на книгу</v>
      </c>
      <c r="Y2490" s="34" t="str">
        <f>HYPERLINK("https://api-enni.alpina.ru/FilePrivilegesApproval/350","https://api-enni.alpina.ru/FilePrivilegesApproval/350")</f>
        <v>https://api-enni.alpina.ru/FilePrivilegesApproval/350</v>
      </c>
      <c r="Z2490" s="13"/>
      <c r="AT2490" s="1">
        <f t="shared" si="475"/>
        <v>0</v>
      </c>
      <c r="AU2490" s="1">
        <f t="shared" si="476"/>
        <v>0</v>
      </c>
      <c r="AV2490" s="1">
        <f t="shared" si="477"/>
        <v>0</v>
      </c>
      <c r="AW2490" s="1">
        <f t="shared" si="478"/>
        <v>0</v>
      </c>
      <c r="AX2490" s="1">
        <f t="shared" si="479"/>
        <v>0</v>
      </c>
    </row>
    <row r="2491" spans="1:50" s="1" customFormat="1" ht="24.95" customHeight="1" outlineLevel="3" x14ac:dyDescent="0.2">
      <c r="A2491" s="11"/>
      <c r="B2491" s="12">
        <v>600</v>
      </c>
      <c r="C2491" s="12">
        <v>890</v>
      </c>
      <c r="D2491" s="12">
        <v>31436</v>
      </c>
      <c r="E2491" s="13" t="s">
        <v>8125</v>
      </c>
      <c r="F2491" s="13" t="s">
        <v>8126</v>
      </c>
      <c r="G2491" s="13" t="s">
        <v>121</v>
      </c>
      <c r="H2491" s="13"/>
      <c r="I2491" s="12">
        <v>2025</v>
      </c>
      <c r="J2491" s="13" t="s">
        <v>8127</v>
      </c>
      <c r="K2491" s="12">
        <v>9785961498738</v>
      </c>
      <c r="L2491" s="13" t="s">
        <v>8128</v>
      </c>
      <c r="M2491" s="12">
        <v>608</v>
      </c>
      <c r="N2491" s="14">
        <v>0.52</v>
      </c>
      <c r="O2491" s="12">
        <v>140</v>
      </c>
      <c r="P2491" s="12">
        <v>210</v>
      </c>
      <c r="Q2491" s="12">
        <v>4</v>
      </c>
      <c r="R2491" s="13" t="s">
        <v>43</v>
      </c>
      <c r="S2491" s="13"/>
      <c r="T2491" s="15">
        <v>10000</v>
      </c>
      <c r="U2491" s="13" t="s">
        <v>44</v>
      </c>
      <c r="V2491" s="13" t="s">
        <v>45</v>
      </c>
      <c r="W2491" s="12">
        <v>10</v>
      </c>
      <c r="X2491" s="33" t="str">
        <f>HYPERLINK("https://www.alpinabook.ru/catalog/book-elliot","ссылка на книгу")</f>
        <v>ссылка на книгу</v>
      </c>
      <c r="Y2491" s="34" t="str">
        <f>HYPERLINK("https://api-enni.alpina.ru/FilePrivilegesApproval/793","https://api-enni.alpina.ru/FilePrivilegesApproval/793")</f>
        <v>https://api-enni.alpina.ru/FilePrivilegesApproval/793</v>
      </c>
      <c r="Z2491" s="13" t="s">
        <v>431</v>
      </c>
      <c r="AT2491" s="1">
        <f t="shared" si="475"/>
        <v>0</v>
      </c>
      <c r="AU2491" s="1">
        <f t="shared" si="476"/>
        <v>0</v>
      </c>
      <c r="AV2491" s="1">
        <f t="shared" si="477"/>
        <v>0</v>
      </c>
      <c r="AW2491" s="1">
        <f t="shared" si="478"/>
        <v>0</v>
      </c>
      <c r="AX2491" s="1">
        <f t="shared" si="479"/>
        <v>0</v>
      </c>
    </row>
    <row r="2492" spans="1:50" ht="15" customHeight="1" outlineLevel="1" x14ac:dyDescent="0.2">
      <c r="A2492" s="39" t="s">
        <v>8129</v>
      </c>
      <c r="B2492" s="39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19"/>
    </row>
    <row r="2493" spans="1:50" ht="11.1" customHeight="1" outlineLevel="2" x14ac:dyDescent="0.2">
      <c r="A2493" s="40"/>
      <c r="B2493" s="40"/>
      <c r="C2493" s="40"/>
      <c r="D2493" s="40"/>
      <c r="E2493" s="40"/>
      <c r="F2493" s="40"/>
      <c r="G2493" s="40"/>
      <c r="H2493" s="40"/>
      <c r="I2493" s="40"/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20"/>
      <c r="AT2493">
        <f t="shared" ref="AT2493:AT2524" si="480">IF($A2493&lt;&gt;0,1,0)</f>
        <v>0</v>
      </c>
      <c r="AU2493">
        <f t="shared" ref="AU2493:AU2524" si="481">$A2493*$B2493</f>
        <v>0</v>
      </c>
      <c r="AV2493">
        <f t="shared" ref="AV2493:AV2524" si="482">$A2493*$N2493</f>
        <v>0</v>
      </c>
      <c r="AW2493">
        <f t="shared" ref="AW2493:AW2524" si="483">IF($Q2493=0,0,INT($A2493/$Q2493))</f>
        <v>0</v>
      </c>
      <c r="AX2493">
        <f t="shared" ref="AX2493:AX2524" si="484">$A2493-$AW2493*$Q2493</f>
        <v>0</v>
      </c>
    </row>
    <row r="2494" spans="1:50" s="1" customFormat="1" ht="21.95" customHeight="1" outlineLevel="3" x14ac:dyDescent="0.2">
      <c r="A2494" s="26"/>
      <c r="B2494" s="28">
        <v>5990</v>
      </c>
      <c r="C2494" s="28">
        <v>5990</v>
      </c>
      <c r="D2494" s="29" t="s">
        <v>8130</v>
      </c>
      <c r="E2494" s="29" t="s">
        <v>8131</v>
      </c>
      <c r="F2494" s="29" t="s">
        <v>8132</v>
      </c>
      <c r="G2494" s="29" t="s">
        <v>56</v>
      </c>
      <c r="H2494" s="29" t="s">
        <v>40</v>
      </c>
      <c r="I2494" s="27">
        <v>2019</v>
      </c>
      <c r="J2494" s="29" t="s">
        <v>8133</v>
      </c>
      <c r="K2494" s="27">
        <v>9785961445626</v>
      </c>
      <c r="L2494" s="29" t="s">
        <v>8134</v>
      </c>
      <c r="M2494" s="27">
        <v>464</v>
      </c>
      <c r="N2494" s="30">
        <v>0.7</v>
      </c>
      <c r="O2494" s="27">
        <v>146</v>
      </c>
      <c r="P2494" s="27">
        <v>217</v>
      </c>
      <c r="Q2494" s="27">
        <v>1</v>
      </c>
      <c r="R2494" s="29" t="s">
        <v>43</v>
      </c>
      <c r="S2494" s="29" t="s">
        <v>8135</v>
      </c>
      <c r="T2494" s="28">
        <v>1000</v>
      </c>
      <c r="U2494" s="29" t="s">
        <v>52</v>
      </c>
      <c r="V2494" s="29" t="s">
        <v>64</v>
      </c>
      <c r="W2494" s="27">
        <v>20</v>
      </c>
      <c r="X2494" s="37" t="str">
        <f>HYPERLINK("https://www.alpinabook.ru/catalog/book-582993/","ссылка на книгу")</f>
        <v>ссылка на книгу</v>
      </c>
      <c r="Y2494" s="38" t="str">
        <f t="shared" ref="Y2494:Y2525" si="485">HYPERLINK("","")</f>
        <v/>
      </c>
      <c r="Z2494" s="29"/>
      <c r="AT2494" s="1">
        <f t="shared" si="480"/>
        <v>0</v>
      </c>
      <c r="AU2494" s="1">
        <f t="shared" si="481"/>
        <v>0</v>
      </c>
      <c r="AV2494" s="1">
        <f t="shared" si="482"/>
        <v>0</v>
      </c>
      <c r="AW2494" s="1">
        <f t="shared" si="483"/>
        <v>0</v>
      </c>
      <c r="AX2494" s="1">
        <f t="shared" si="484"/>
        <v>0</v>
      </c>
    </row>
    <row r="2495" spans="1:50" s="1" customFormat="1" ht="24.95" customHeight="1" outlineLevel="3" x14ac:dyDescent="0.2">
      <c r="A2495" s="26"/>
      <c r="B2495" s="28">
        <v>5990</v>
      </c>
      <c r="C2495" s="28">
        <v>5990</v>
      </c>
      <c r="D2495" s="29" t="s">
        <v>8136</v>
      </c>
      <c r="E2495" s="29" t="s">
        <v>8137</v>
      </c>
      <c r="F2495" s="29" t="s">
        <v>8138</v>
      </c>
      <c r="G2495" s="29" t="s">
        <v>56</v>
      </c>
      <c r="H2495" s="29" t="s">
        <v>40</v>
      </c>
      <c r="I2495" s="27">
        <v>2015</v>
      </c>
      <c r="J2495" s="29" t="s">
        <v>8139</v>
      </c>
      <c r="K2495" s="27">
        <v>9785961453218</v>
      </c>
      <c r="L2495" s="29" t="s">
        <v>8140</v>
      </c>
      <c r="M2495" s="27">
        <v>336</v>
      </c>
      <c r="N2495" s="30">
        <v>0.56999999999999995</v>
      </c>
      <c r="O2495" s="27">
        <v>146</v>
      </c>
      <c r="P2495" s="27">
        <v>217</v>
      </c>
      <c r="Q2495" s="27">
        <v>1</v>
      </c>
      <c r="R2495" s="29" t="s">
        <v>43</v>
      </c>
      <c r="S2495" s="29" t="s">
        <v>8135</v>
      </c>
      <c r="T2495" s="28">
        <v>2000</v>
      </c>
      <c r="U2495" s="29" t="s">
        <v>52</v>
      </c>
      <c r="V2495" s="29" t="s">
        <v>64</v>
      </c>
      <c r="W2495" s="27">
        <v>20</v>
      </c>
      <c r="X2495" s="37" t="str">
        <f>HYPERLINK("https://www.alpinabook.ru/catalog/book-583017/","ссылка на книгу")</f>
        <v>ссылка на книгу</v>
      </c>
      <c r="Y2495" s="38" t="str">
        <f t="shared" si="485"/>
        <v/>
      </c>
      <c r="Z2495" s="29"/>
      <c r="AT2495" s="1">
        <f t="shared" si="480"/>
        <v>0</v>
      </c>
      <c r="AU2495" s="1">
        <f t="shared" si="481"/>
        <v>0</v>
      </c>
      <c r="AV2495" s="1">
        <f t="shared" si="482"/>
        <v>0</v>
      </c>
      <c r="AW2495" s="1">
        <f t="shared" si="483"/>
        <v>0</v>
      </c>
      <c r="AX2495" s="1">
        <f t="shared" si="484"/>
        <v>0</v>
      </c>
    </row>
    <row r="2496" spans="1:50" s="1" customFormat="1" ht="21.95" customHeight="1" outlineLevel="3" x14ac:dyDescent="0.2">
      <c r="A2496" s="26"/>
      <c r="B2496" s="28">
        <v>5490</v>
      </c>
      <c r="C2496" s="28">
        <v>5490</v>
      </c>
      <c r="D2496" s="29" t="s">
        <v>8141</v>
      </c>
      <c r="E2496" s="29" t="s">
        <v>8142</v>
      </c>
      <c r="F2496" s="29" t="s">
        <v>8143</v>
      </c>
      <c r="G2496" s="29" t="s">
        <v>56</v>
      </c>
      <c r="H2496" s="29" t="s">
        <v>40</v>
      </c>
      <c r="I2496" s="27">
        <v>2019</v>
      </c>
      <c r="J2496" s="29" t="s">
        <v>8144</v>
      </c>
      <c r="K2496" s="27">
        <v>9785961414271</v>
      </c>
      <c r="L2496" s="29" t="s">
        <v>8145</v>
      </c>
      <c r="M2496" s="27">
        <v>509</v>
      </c>
      <c r="N2496" s="30">
        <v>0.87</v>
      </c>
      <c r="O2496" s="27">
        <v>146</v>
      </c>
      <c r="P2496" s="27">
        <v>217</v>
      </c>
      <c r="Q2496" s="27">
        <v>1</v>
      </c>
      <c r="R2496" s="29" t="s">
        <v>43</v>
      </c>
      <c r="S2496" s="29" t="s">
        <v>8135</v>
      </c>
      <c r="T2496" s="28">
        <v>1002</v>
      </c>
      <c r="U2496" s="29" t="s">
        <v>52</v>
      </c>
      <c r="V2496" s="29" t="s">
        <v>64</v>
      </c>
      <c r="W2496" s="27">
        <v>20</v>
      </c>
      <c r="X2496" s="37" t="str">
        <f>HYPERLINK("https://alpinabook.ru/catalog/book-dao-toyota-sberbank/","ссылка на книгу")</f>
        <v>ссылка на книгу</v>
      </c>
      <c r="Y2496" s="38" t="str">
        <f t="shared" si="485"/>
        <v/>
      </c>
      <c r="Z2496" s="29"/>
      <c r="AT2496" s="1">
        <f t="shared" si="480"/>
        <v>0</v>
      </c>
      <c r="AU2496" s="1">
        <f t="shared" si="481"/>
        <v>0</v>
      </c>
      <c r="AV2496" s="1">
        <f t="shared" si="482"/>
        <v>0</v>
      </c>
      <c r="AW2496" s="1">
        <f t="shared" si="483"/>
        <v>0</v>
      </c>
      <c r="AX2496" s="1">
        <f t="shared" si="484"/>
        <v>0</v>
      </c>
    </row>
    <row r="2497" spans="1:50" s="1" customFormat="1" ht="24.95" customHeight="1" outlineLevel="3" x14ac:dyDescent="0.2">
      <c r="A2497" s="26"/>
      <c r="B2497" s="28">
        <v>5990</v>
      </c>
      <c r="C2497" s="28">
        <v>5990</v>
      </c>
      <c r="D2497" s="29" t="s">
        <v>8146</v>
      </c>
      <c r="E2497" s="29" t="s">
        <v>8147</v>
      </c>
      <c r="F2497" s="29" t="s">
        <v>8148</v>
      </c>
      <c r="G2497" s="29" t="s">
        <v>56</v>
      </c>
      <c r="H2497" s="29" t="s">
        <v>40</v>
      </c>
      <c r="I2497" s="27">
        <v>2019</v>
      </c>
      <c r="J2497" s="29" t="s">
        <v>8149</v>
      </c>
      <c r="K2497" s="27">
        <v>9785961413144</v>
      </c>
      <c r="L2497" s="29" t="s">
        <v>8150</v>
      </c>
      <c r="M2497" s="27">
        <v>279</v>
      </c>
      <c r="N2497" s="30">
        <v>0.47</v>
      </c>
      <c r="O2497" s="27">
        <v>146</v>
      </c>
      <c r="P2497" s="27">
        <v>217</v>
      </c>
      <c r="Q2497" s="27">
        <v>1</v>
      </c>
      <c r="R2497" s="29" t="s">
        <v>43</v>
      </c>
      <c r="S2497" s="29" t="s">
        <v>8135</v>
      </c>
      <c r="T2497" s="28">
        <v>1000</v>
      </c>
      <c r="U2497" s="29" t="s">
        <v>52</v>
      </c>
      <c r="V2497" s="29" t="s">
        <v>64</v>
      </c>
      <c r="W2497" s="27">
        <v>20</v>
      </c>
      <c r="X2497" s="37" t="str">
        <f>HYPERLINK("https://alpinabook.ru/catalog/book-iskusstvo-rezultativnogo-upravleniya-sberbank/","ссылка на книгу")</f>
        <v>ссылка на книгу</v>
      </c>
      <c r="Y2497" s="38" t="str">
        <f t="shared" si="485"/>
        <v/>
      </c>
      <c r="Z2497" s="29"/>
      <c r="AT2497" s="1">
        <f t="shared" si="480"/>
        <v>0</v>
      </c>
      <c r="AU2497" s="1">
        <f t="shared" si="481"/>
        <v>0</v>
      </c>
      <c r="AV2497" s="1">
        <f t="shared" si="482"/>
        <v>0</v>
      </c>
      <c r="AW2497" s="1">
        <f t="shared" si="483"/>
        <v>0</v>
      </c>
      <c r="AX2497" s="1">
        <f t="shared" si="484"/>
        <v>0</v>
      </c>
    </row>
    <row r="2498" spans="1:50" s="1" customFormat="1" ht="21.95" customHeight="1" outlineLevel="3" x14ac:dyDescent="0.2">
      <c r="A2498" s="26"/>
      <c r="B2498" s="28">
        <v>4990</v>
      </c>
      <c r="C2498" s="28">
        <v>4990</v>
      </c>
      <c r="D2498" s="29" t="s">
        <v>8151</v>
      </c>
      <c r="E2498" s="29" t="s">
        <v>4053</v>
      </c>
      <c r="F2498" s="29" t="s">
        <v>8152</v>
      </c>
      <c r="G2498" s="29" t="s">
        <v>56</v>
      </c>
      <c r="H2498" s="29" t="s">
        <v>40</v>
      </c>
      <c r="I2498" s="27">
        <v>2018</v>
      </c>
      <c r="J2498" s="29" t="s">
        <v>8153</v>
      </c>
      <c r="K2498" s="27">
        <v>9785961420586</v>
      </c>
      <c r="L2498" s="29" t="s">
        <v>8154</v>
      </c>
      <c r="M2498" s="27">
        <v>312</v>
      </c>
      <c r="N2498" s="30">
        <v>0.53</v>
      </c>
      <c r="O2498" s="27">
        <v>146</v>
      </c>
      <c r="P2498" s="27">
        <v>217</v>
      </c>
      <c r="Q2498" s="27">
        <v>1</v>
      </c>
      <c r="R2498" s="29" t="s">
        <v>43</v>
      </c>
      <c r="S2498" s="29" t="s">
        <v>8135</v>
      </c>
      <c r="T2498" s="28">
        <v>4000</v>
      </c>
      <c r="U2498" s="29" t="s">
        <v>52</v>
      </c>
      <c r="V2498" s="29" t="s">
        <v>64</v>
      </c>
      <c r="W2498" s="27">
        <v>20</v>
      </c>
      <c r="X2498" s="37" t="str">
        <f>HYPERLINK("https://alpinabook.ru/catalog/book-razvitie-liderov-sberbank/","ссылка на книгу")</f>
        <v>ссылка на книгу</v>
      </c>
      <c r="Y2498" s="38" t="str">
        <f t="shared" si="485"/>
        <v/>
      </c>
      <c r="Z2498" s="29"/>
      <c r="AT2498" s="1">
        <f t="shared" si="480"/>
        <v>0</v>
      </c>
      <c r="AU2498" s="1">
        <f t="shared" si="481"/>
        <v>0</v>
      </c>
      <c r="AV2498" s="1">
        <f t="shared" si="482"/>
        <v>0</v>
      </c>
      <c r="AW2498" s="1">
        <f t="shared" si="483"/>
        <v>0</v>
      </c>
      <c r="AX2498" s="1">
        <f t="shared" si="484"/>
        <v>0</v>
      </c>
    </row>
    <row r="2499" spans="1:50" s="1" customFormat="1" ht="21.95" customHeight="1" outlineLevel="3" x14ac:dyDescent="0.2">
      <c r="A2499" s="26"/>
      <c r="B2499" s="28">
        <v>4990</v>
      </c>
      <c r="C2499" s="28">
        <v>4990</v>
      </c>
      <c r="D2499" s="29" t="s">
        <v>8155</v>
      </c>
      <c r="E2499" s="29" t="s">
        <v>8156</v>
      </c>
      <c r="F2499" s="29" t="s">
        <v>8157</v>
      </c>
      <c r="G2499" s="29" t="s">
        <v>56</v>
      </c>
      <c r="H2499" s="29" t="s">
        <v>40</v>
      </c>
      <c r="I2499" s="27">
        <v>2019</v>
      </c>
      <c r="J2499" s="29" t="s">
        <v>8158</v>
      </c>
      <c r="K2499" s="27">
        <v>9785961413250</v>
      </c>
      <c r="L2499" s="29" t="s">
        <v>8159</v>
      </c>
      <c r="M2499" s="27">
        <v>242</v>
      </c>
      <c r="N2499" s="30">
        <v>0.41</v>
      </c>
      <c r="O2499" s="27">
        <v>146</v>
      </c>
      <c r="P2499" s="27">
        <v>217</v>
      </c>
      <c r="Q2499" s="27">
        <v>1</v>
      </c>
      <c r="R2499" s="29" t="s">
        <v>43</v>
      </c>
      <c r="S2499" s="29" t="s">
        <v>8135</v>
      </c>
      <c r="T2499" s="28">
        <v>1002</v>
      </c>
      <c r="U2499" s="29" t="s">
        <v>52</v>
      </c>
      <c r="V2499" s="29" t="s">
        <v>64</v>
      </c>
      <c r="W2499" s="27">
        <v>20</v>
      </c>
      <c r="X2499" s="37" t="str">
        <f>HYPERLINK("https://www.alpinabook.ru/catalog/book-583065/","ссылка на книгу")</f>
        <v>ссылка на книгу</v>
      </c>
      <c r="Y2499" s="38" t="str">
        <f t="shared" si="485"/>
        <v/>
      </c>
      <c r="Z2499" s="29"/>
      <c r="AT2499" s="1">
        <f t="shared" si="480"/>
        <v>0</v>
      </c>
      <c r="AU2499" s="1">
        <f t="shared" si="481"/>
        <v>0</v>
      </c>
      <c r="AV2499" s="1">
        <f t="shared" si="482"/>
        <v>0</v>
      </c>
      <c r="AW2499" s="1">
        <f t="shared" si="483"/>
        <v>0</v>
      </c>
      <c r="AX2499" s="1">
        <f t="shared" si="484"/>
        <v>0</v>
      </c>
    </row>
    <row r="2500" spans="1:50" s="1" customFormat="1" ht="21.95" customHeight="1" outlineLevel="3" x14ac:dyDescent="0.2">
      <c r="A2500" s="26"/>
      <c r="B2500" s="28">
        <v>4990</v>
      </c>
      <c r="C2500" s="28">
        <v>4990</v>
      </c>
      <c r="D2500" s="29" t="s">
        <v>8160</v>
      </c>
      <c r="E2500" s="29" t="s">
        <v>8161</v>
      </c>
      <c r="F2500" s="29" t="s">
        <v>8162</v>
      </c>
      <c r="G2500" s="29" t="s">
        <v>8163</v>
      </c>
      <c r="H2500" s="29" t="s">
        <v>40</v>
      </c>
      <c r="I2500" s="27">
        <v>2019</v>
      </c>
      <c r="J2500" s="29" t="s">
        <v>8164</v>
      </c>
      <c r="K2500" s="27">
        <v>9785969304758</v>
      </c>
      <c r="L2500" s="29" t="s">
        <v>8165</v>
      </c>
      <c r="M2500" s="27">
        <v>362</v>
      </c>
      <c r="N2500" s="30">
        <v>0.62</v>
      </c>
      <c r="O2500" s="27">
        <v>146</v>
      </c>
      <c r="P2500" s="27">
        <v>217</v>
      </c>
      <c r="Q2500" s="27">
        <v>1</v>
      </c>
      <c r="R2500" s="29" t="s">
        <v>43</v>
      </c>
      <c r="S2500" s="29" t="s">
        <v>8135</v>
      </c>
      <c r="T2500" s="28">
        <v>1000</v>
      </c>
      <c r="U2500" s="29" t="s">
        <v>52</v>
      </c>
      <c r="V2500" s="29" t="s">
        <v>64</v>
      </c>
      <c r="W2500" s="27">
        <v>20</v>
      </c>
      <c r="X2500" s="37" t="str">
        <f>HYPERLINK("https://alpinabook.ru/catalog/book-kogda-geniy-terpit-porazhenie-sberbank/","ссылка на книгу")</f>
        <v>ссылка на книгу</v>
      </c>
      <c r="Y2500" s="38" t="str">
        <f t="shared" si="485"/>
        <v/>
      </c>
      <c r="Z2500" s="29"/>
      <c r="AT2500" s="1">
        <f t="shared" si="480"/>
        <v>0</v>
      </c>
      <c r="AU2500" s="1">
        <f t="shared" si="481"/>
        <v>0</v>
      </c>
      <c r="AV2500" s="1">
        <f t="shared" si="482"/>
        <v>0</v>
      </c>
      <c r="AW2500" s="1">
        <f t="shared" si="483"/>
        <v>0</v>
      </c>
      <c r="AX2500" s="1">
        <f t="shared" si="484"/>
        <v>0</v>
      </c>
    </row>
    <row r="2501" spans="1:50" s="1" customFormat="1" ht="21.95" customHeight="1" outlineLevel="3" x14ac:dyDescent="0.2">
      <c r="A2501" s="26"/>
      <c r="B2501" s="28">
        <v>5490</v>
      </c>
      <c r="C2501" s="28">
        <v>5490</v>
      </c>
      <c r="D2501" s="29" t="s">
        <v>8166</v>
      </c>
      <c r="E2501" s="29" t="s">
        <v>8167</v>
      </c>
      <c r="F2501" s="29" t="s">
        <v>8168</v>
      </c>
      <c r="G2501" s="29" t="s">
        <v>56</v>
      </c>
      <c r="H2501" s="29" t="s">
        <v>40</v>
      </c>
      <c r="I2501" s="27">
        <v>2019</v>
      </c>
      <c r="J2501" s="29" t="s">
        <v>8169</v>
      </c>
      <c r="K2501" s="27">
        <v>9785961413922</v>
      </c>
      <c r="L2501" s="29" t="s">
        <v>8170</v>
      </c>
      <c r="M2501" s="27">
        <v>329</v>
      </c>
      <c r="N2501" s="30">
        <v>0.56000000000000005</v>
      </c>
      <c r="O2501" s="27">
        <v>146</v>
      </c>
      <c r="P2501" s="27">
        <v>217</v>
      </c>
      <c r="Q2501" s="27">
        <v>1</v>
      </c>
      <c r="R2501" s="29" t="s">
        <v>43</v>
      </c>
      <c r="S2501" s="29" t="s">
        <v>8135</v>
      </c>
      <c r="T2501" s="28">
        <v>1002</v>
      </c>
      <c r="U2501" s="29" t="s">
        <v>52</v>
      </c>
      <c r="V2501" s="29" t="s">
        <v>64</v>
      </c>
      <c r="W2501" s="27">
        <v>20</v>
      </c>
      <c r="X2501" s="37" t="str">
        <f>HYPERLINK("https://alpinabook.ru/catalog/book-dognat-zaytsa-sberbank/","ссылка на книгу")</f>
        <v>ссылка на книгу</v>
      </c>
      <c r="Y2501" s="38" t="str">
        <f t="shared" si="485"/>
        <v/>
      </c>
      <c r="Z2501" s="29"/>
      <c r="AT2501" s="1">
        <f t="shared" si="480"/>
        <v>0</v>
      </c>
      <c r="AU2501" s="1">
        <f t="shared" si="481"/>
        <v>0</v>
      </c>
      <c r="AV2501" s="1">
        <f t="shared" si="482"/>
        <v>0</v>
      </c>
      <c r="AW2501" s="1">
        <f t="shared" si="483"/>
        <v>0</v>
      </c>
      <c r="AX2501" s="1">
        <f t="shared" si="484"/>
        <v>0</v>
      </c>
    </row>
    <row r="2502" spans="1:50" s="1" customFormat="1" ht="24.95" customHeight="1" outlineLevel="3" x14ac:dyDescent="0.2">
      <c r="A2502" s="26"/>
      <c r="B2502" s="28">
        <v>5490</v>
      </c>
      <c r="C2502" s="28">
        <v>5490</v>
      </c>
      <c r="D2502" s="29" t="s">
        <v>8171</v>
      </c>
      <c r="E2502" s="29" t="s">
        <v>8172</v>
      </c>
      <c r="F2502" s="29" t="s">
        <v>8173</v>
      </c>
      <c r="G2502" s="29" t="s">
        <v>56</v>
      </c>
      <c r="H2502" s="29" t="s">
        <v>40</v>
      </c>
      <c r="I2502" s="27">
        <v>2019</v>
      </c>
      <c r="J2502" s="29" t="s">
        <v>8174</v>
      </c>
      <c r="K2502" s="27">
        <v>9785961413908</v>
      </c>
      <c r="L2502" s="29" t="s">
        <v>8175</v>
      </c>
      <c r="M2502" s="27">
        <v>264</v>
      </c>
      <c r="N2502" s="30">
        <v>0.45</v>
      </c>
      <c r="O2502" s="27">
        <v>146</v>
      </c>
      <c r="P2502" s="27">
        <v>217</v>
      </c>
      <c r="Q2502" s="27">
        <v>1</v>
      </c>
      <c r="R2502" s="29" t="s">
        <v>43</v>
      </c>
      <c r="S2502" s="29" t="s">
        <v>8135</v>
      </c>
      <c r="T2502" s="28">
        <v>1002</v>
      </c>
      <c r="U2502" s="29" t="s">
        <v>52</v>
      </c>
      <c r="V2502" s="29" t="s">
        <v>64</v>
      </c>
      <c r="W2502" s="27">
        <v>20</v>
      </c>
      <c r="X2502" s="37" t="str">
        <f>HYPERLINK("https://www.alpinabook.ru/catalog/book-583091/","ссылка на книгу")</f>
        <v>ссылка на книгу</v>
      </c>
      <c r="Y2502" s="38" t="str">
        <f t="shared" si="485"/>
        <v/>
      </c>
      <c r="Z2502" s="29"/>
      <c r="AT2502" s="1">
        <f t="shared" si="480"/>
        <v>0</v>
      </c>
      <c r="AU2502" s="1">
        <f t="shared" si="481"/>
        <v>0</v>
      </c>
      <c r="AV2502" s="1">
        <f t="shared" si="482"/>
        <v>0</v>
      </c>
      <c r="AW2502" s="1">
        <f t="shared" si="483"/>
        <v>0</v>
      </c>
      <c r="AX2502" s="1">
        <f t="shared" si="484"/>
        <v>0</v>
      </c>
    </row>
    <row r="2503" spans="1:50" s="1" customFormat="1" ht="24.95" customHeight="1" outlineLevel="3" x14ac:dyDescent="0.2">
      <c r="A2503" s="26"/>
      <c r="B2503" s="28">
        <v>5990</v>
      </c>
      <c r="C2503" s="28">
        <v>5990</v>
      </c>
      <c r="D2503" s="29" t="s">
        <v>8176</v>
      </c>
      <c r="E2503" s="29" t="s">
        <v>8177</v>
      </c>
      <c r="F2503" s="29" t="s">
        <v>8178</v>
      </c>
      <c r="G2503" s="29" t="s">
        <v>97</v>
      </c>
      <c r="H2503" s="29" t="s">
        <v>8179</v>
      </c>
      <c r="I2503" s="27">
        <v>2022</v>
      </c>
      <c r="J2503" s="29" t="s">
        <v>8176</v>
      </c>
      <c r="K2503" s="27">
        <v>9785907394339</v>
      </c>
      <c r="L2503" s="29" t="s">
        <v>8180</v>
      </c>
      <c r="M2503" s="27">
        <v>309</v>
      </c>
      <c r="N2503" s="30">
        <v>0.52</v>
      </c>
      <c r="O2503" s="27">
        <v>146</v>
      </c>
      <c r="P2503" s="27">
        <v>216</v>
      </c>
      <c r="Q2503" s="27">
        <v>1</v>
      </c>
      <c r="R2503" s="29" t="s">
        <v>43</v>
      </c>
      <c r="S2503" s="29" t="s">
        <v>8135</v>
      </c>
      <c r="T2503" s="28">
        <v>3500</v>
      </c>
      <c r="U2503" s="29" t="s">
        <v>52</v>
      </c>
      <c r="V2503" s="29" t="s">
        <v>59</v>
      </c>
      <c r="W2503" s="27">
        <v>20</v>
      </c>
      <c r="X2503" s="37" t="str">
        <f>HYPERLINK("https://alpinabook.ru/catalog/book-novoe-dolgoletie-tom-101-biblioteka-sbera/","ссылка на книгу")</f>
        <v>ссылка на книгу</v>
      </c>
      <c r="Y2503" s="38" t="str">
        <f t="shared" si="485"/>
        <v/>
      </c>
      <c r="Z2503" s="29"/>
      <c r="AT2503" s="1">
        <f t="shared" si="480"/>
        <v>0</v>
      </c>
      <c r="AU2503" s="1">
        <f t="shared" si="481"/>
        <v>0</v>
      </c>
      <c r="AV2503" s="1">
        <f t="shared" si="482"/>
        <v>0</v>
      </c>
      <c r="AW2503" s="1">
        <f t="shared" si="483"/>
        <v>0</v>
      </c>
      <c r="AX2503" s="1">
        <f t="shared" si="484"/>
        <v>0</v>
      </c>
    </row>
    <row r="2504" spans="1:50" s="1" customFormat="1" ht="24.95" customHeight="1" outlineLevel="3" x14ac:dyDescent="0.2">
      <c r="A2504" s="26"/>
      <c r="B2504" s="28">
        <v>5990</v>
      </c>
      <c r="C2504" s="28">
        <v>5990</v>
      </c>
      <c r="D2504" s="29" t="s">
        <v>8181</v>
      </c>
      <c r="E2504" s="29" t="s">
        <v>4731</v>
      </c>
      <c r="F2504" s="29" t="s">
        <v>8182</v>
      </c>
      <c r="G2504" s="29" t="s">
        <v>97</v>
      </c>
      <c r="H2504" s="29" t="s">
        <v>8179</v>
      </c>
      <c r="I2504" s="27">
        <v>2022</v>
      </c>
      <c r="J2504" s="29" t="s">
        <v>8181</v>
      </c>
      <c r="K2504" s="27">
        <v>9785907394193</v>
      </c>
      <c r="L2504" s="29" t="s">
        <v>8183</v>
      </c>
      <c r="M2504" s="27">
        <v>245</v>
      </c>
      <c r="N2504" s="30">
        <v>0.42</v>
      </c>
      <c r="O2504" s="27">
        <v>146</v>
      </c>
      <c r="P2504" s="27">
        <v>216</v>
      </c>
      <c r="Q2504" s="27">
        <v>1</v>
      </c>
      <c r="R2504" s="29" t="s">
        <v>43</v>
      </c>
      <c r="S2504" s="29" t="s">
        <v>8135</v>
      </c>
      <c r="T2504" s="28">
        <v>3500</v>
      </c>
      <c r="U2504" s="29" t="s">
        <v>52</v>
      </c>
      <c r="V2504" s="29" t="s">
        <v>59</v>
      </c>
      <c r="W2504" s="27">
        <v>20</v>
      </c>
      <c r="X2504" s="37" t="str">
        <f>HYPERLINK("https://alpinabook.ru/catalog/book-rabota-bez-strakha-tom-102-biblioteka-sbera/","ссылка на книгу")</f>
        <v>ссылка на книгу</v>
      </c>
      <c r="Y2504" s="38" t="str">
        <f t="shared" si="485"/>
        <v/>
      </c>
      <c r="Z2504" s="29"/>
      <c r="AT2504" s="1">
        <f t="shared" si="480"/>
        <v>0</v>
      </c>
      <c r="AU2504" s="1">
        <f t="shared" si="481"/>
        <v>0</v>
      </c>
      <c r="AV2504" s="1">
        <f t="shared" si="482"/>
        <v>0</v>
      </c>
      <c r="AW2504" s="1">
        <f t="shared" si="483"/>
        <v>0</v>
      </c>
      <c r="AX2504" s="1">
        <f t="shared" si="484"/>
        <v>0</v>
      </c>
    </row>
    <row r="2505" spans="1:50" s="1" customFormat="1" ht="21.95" customHeight="1" outlineLevel="3" x14ac:dyDescent="0.2">
      <c r="A2505" s="26"/>
      <c r="B2505" s="28">
        <v>5990</v>
      </c>
      <c r="C2505" s="28">
        <v>5990</v>
      </c>
      <c r="D2505" s="29" t="s">
        <v>8184</v>
      </c>
      <c r="E2505" s="29" t="s">
        <v>3623</v>
      </c>
      <c r="F2505" s="29" t="s">
        <v>8185</v>
      </c>
      <c r="G2505" s="29" t="s">
        <v>97</v>
      </c>
      <c r="H2505" s="29" t="s">
        <v>8179</v>
      </c>
      <c r="I2505" s="27">
        <v>2022</v>
      </c>
      <c r="J2505" s="29" t="s">
        <v>8184</v>
      </c>
      <c r="K2505" s="27">
        <v>9785907534148</v>
      </c>
      <c r="L2505" s="29" t="s">
        <v>8186</v>
      </c>
      <c r="M2505" s="27">
        <v>570</v>
      </c>
      <c r="N2505" s="30">
        <v>0.82</v>
      </c>
      <c r="O2505" s="27">
        <v>146</v>
      </c>
      <c r="P2505" s="27">
        <v>216</v>
      </c>
      <c r="Q2505" s="27">
        <v>1</v>
      </c>
      <c r="R2505" s="29" t="s">
        <v>43</v>
      </c>
      <c r="S2505" s="29" t="s">
        <v>8135</v>
      </c>
      <c r="T2505" s="28">
        <v>3500</v>
      </c>
      <c r="U2505" s="29" t="s">
        <v>52</v>
      </c>
      <c r="V2505" s="29" t="s">
        <v>59</v>
      </c>
      <c r="W2505" s="27">
        <v>20</v>
      </c>
      <c r="X2505" s="37" t="str">
        <f>HYPERLINK("https://alpinabook.ru/catalog/book-reshenie-obshchestvennykh-problem-tom-103-biblioteka-sbera/","ссылка на книгу")</f>
        <v>ссылка на книгу</v>
      </c>
      <c r="Y2505" s="38" t="str">
        <f t="shared" si="485"/>
        <v/>
      </c>
      <c r="Z2505" s="29"/>
      <c r="AT2505" s="1">
        <f t="shared" si="480"/>
        <v>0</v>
      </c>
      <c r="AU2505" s="1">
        <f t="shared" si="481"/>
        <v>0</v>
      </c>
      <c r="AV2505" s="1">
        <f t="shared" si="482"/>
        <v>0</v>
      </c>
      <c r="AW2505" s="1">
        <f t="shared" si="483"/>
        <v>0</v>
      </c>
      <c r="AX2505" s="1">
        <f t="shared" si="484"/>
        <v>0</v>
      </c>
    </row>
    <row r="2506" spans="1:50" s="1" customFormat="1" ht="21.95" customHeight="1" outlineLevel="3" x14ac:dyDescent="0.2">
      <c r="A2506" s="26"/>
      <c r="B2506" s="28">
        <v>5990</v>
      </c>
      <c r="C2506" s="28">
        <v>5990</v>
      </c>
      <c r="D2506" s="29" t="s">
        <v>8187</v>
      </c>
      <c r="E2506" s="29" t="s">
        <v>8188</v>
      </c>
      <c r="F2506" s="29" t="s">
        <v>8189</v>
      </c>
      <c r="G2506" s="29" t="s">
        <v>97</v>
      </c>
      <c r="H2506" s="29" t="s">
        <v>8179</v>
      </c>
      <c r="I2506" s="27">
        <v>2022</v>
      </c>
      <c r="J2506" s="29" t="s">
        <v>8187</v>
      </c>
      <c r="K2506" s="27">
        <v>9785907534728</v>
      </c>
      <c r="L2506" s="29" t="s">
        <v>8190</v>
      </c>
      <c r="M2506" s="27">
        <v>544</v>
      </c>
      <c r="N2506" s="30">
        <v>0.78</v>
      </c>
      <c r="O2506" s="27">
        <v>146</v>
      </c>
      <c r="P2506" s="27">
        <v>216</v>
      </c>
      <c r="Q2506" s="27">
        <v>1</v>
      </c>
      <c r="R2506" s="29" t="s">
        <v>43</v>
      </c>
      <c r="S2506" s="29" t="s">
        <v>8135</v>
      </c>
      <c r="T2506" s="28">
        <v>3500</v>
      </c>
      <c r="U2506" s="29" t="s">
        <v>52</v>
      </c>
      <c r="V2506" s="29" t="s">
        <v>59</v>
      </c>
      <c r="W2506" s="27">
        <v>20</v>
      </c>
      <c r="X2506" s="37" t="str">
        <f>HYPERLINK("https://alpinabook.ru/catalog/book-ustoychivoe-investirovanie-tom-104-biblioteka-sbera/","ссылка на книгу")</f>
        <v>ссылка на книгу</v>
      </c>
      <c r="Y2506" s="38" t="str">
        <f t="shared" si="485"/>
        <v/>
      </c>
      <c r="Z2506" s="29"/>
      <c r="AT2506" s="1">
        <f t="shared" si="480"/>
        <v>0</v>
      </c>
      <c r="AU2506" s="1">
        <f t="shared" si="481"/>
        <v>0</v>
      </c>
      <c r="AV2506" s="1">
        <f t="shared" si="482"/>
        <v>0</v>
      </c>
      <c r="AW2506" s="1">
        <f t="shared" si="483"/>
        <v>0</v>
      </c>
      <c r="AX2506" s="1">
        <f t="shared" si="484"/>
        <v>0</v>
      </c>
    </row>
    <row r="2507" spans="1:50" s="1" customFormat="1" ht="21.95" customHeight="1" outlineLevel="3" x14ac:dyDescent="0.2">
      <c r="A2507" s="26"/>
      <c r="B2507" s="28">
        <v>7990</v>
      </c>
      <c r="C2507" s="28">
        <v>7990</v>
      </c>
      <c r="D2507" s="29" t="s">
        <v>8191</v>
      </c>
      <c r="E2507" s="29" t="s">
        <v>8192</v>
      </c>
      <c r="F2507" s="29" t="s">
        <v>8193</v>
      </c>
      <c r="G2507" s="29" t="s">
        <v>8194</v>
      </c>
      <c r="H2507" s="29" t="s">
        <v>8179</v>
      </c>
      <c r="I2507" s="27">
        <v>2022</v>
      </c>
      <c r="J2507" s="29" t="s">
        <v>8191</v>
      </c>
      <c r="K2507" s="27">
        <v>9785001956907</v>
      </c>
      <c r="L2507" s="29" t="s">
        <v>8195</v>
      </c>
      <c r="M2507" s="27">
        <v>528</v>
      </c>
      <c r="N2507" s="30">
        <v>0.83</v>
      </c>
      <c r="O2507" s="27">
        <v>150</v>
      </c>
      <c r="P2507" s="27">
        <v>210</v>
      </c>
      <c r="Q2507" s="27">
        <v>1</v>
      </c>
      <c r="R2507" s="29" t="s">
        <v>43</v>
      </c>
      <c r="S2507" s="29" t="s">
        <v>8135</v>
      </c>
      <c r="T2507" s="28">
        <v>5000</v>
      </c>
      <c r="U2507" s="29" t="s">
        <v>52</v>
      </c>
      <c r="V2507" s="29" t="s">
        <v>45</v>
      </c>
      <c r="W2507" s="27">
        <v>20</v>
      </c>
      <c r="X2507" s="37" t="str">
        <f>HYPERLINK("https://alpinabook.ru/catalog/book-printsipy-izmeneniya-mirovogo-poryadka-tom-105-biblioteka-sbera/","ссылка на книгу")</f>
        <v>ссылка на книгу</v>
      </c>
      <c r="Y2507" s="38" t="str">
        <f t="shared" si="485"/>
        <v/>
      </c>
      <c r="Z2507" s="29"/>
      <c r="AT2507" s="1">
        <f t="shared" si="480"/>
        <v>0</v>
      </c>
      <c r="AU2507" s="1">
        <f t="shared" si="481"/>
        <v>0</v>
      </c>
      <c r="AV2507" s="1">
        <f t="shared" si="482"/>
        <v>0</v>
      </c>
      <c r="AW2507" s="1">
        <f t="shared" si="483"/>
        <v>0</v>
      </c>
      <c r="AX2507" s="1">
        <f t="shared" si="484"/>
        <v>0</v>
      </c>
    </row>
    <row r="2508" spans="1:50" s="1" customFormat="1" ht="21.95" customHeight="1" outlineLevel="3" x14ac:dyDescent="0.2">
      <c r="A2508" s="26"/>
      <c r="B2508" s="28">
        <v>5990</v>
      </c>
      <c r="C2508" s="28">
        <v>5990</v>
      </c>
      <c r="D2508" s="29" t="s">
        <v>8196</v>
      </c>
      <c r="E2508" s="29" t="s">
        <v>4431</v>
      </c>
      <c r="F2508" s="29" t="s">
        <v>8197</v>
      </c>
      <c r="G2508" s="29" t="s">
        <v>97</v>
      </c>
      <c r="H2508" s="29" t="s">
        <v>8179</v>
      </c>
      <c r="I2508" s="27">
        <v>2023</v>
      </c>
      <c r="J2508" s="29" t="s">
        <v>8196</v>
      </c>
      <c r="K2508" s="27">
        <v>9785206002126</v>
      </c>
      <c r="L2508" s="29" t="s">
        <v>8198</v>
      </c>
      <c r="M2508" s="27">
        <v>206</v>
      </c>
      <c r="N2508" s="30">
        <v>0.37</v>
      </c>
      <c r="O2508" s="27">
        <v>146</v>
      </c>
      <c r="P2508" s="27">
        <v>216</v>
      </c>
      <c r="Q2508" s="27">
        <v>1</v>
      </c>
      <c r="R2508" s="29" t="s">
        <v>43</v>
      </c>
      <c r="S2508" s="29" t="s">
        <v>8135</v>
      </c>
      <c r="T2508" s="28">
        <v>3500</v>
      </c>
      <c r="U2508" s="29" t="s">
        <v>52</v>
      </c>
      <c r="V2508" s="29" t="s">
        <v>59</v>
      </c>
      <c r="W2508" s="27">
        <v>20</v>
      </c>
      <c r="X2508" s="37" t="str">
        <f>HYPERLINK("https://alpinabook.ru/catalog/book-sokhranyaya-energiyu-startapa-tom-106-biblioteka-sbera/","ссылка на книгу")</f>
        <v>ссылка на книгу</v>
      </c>
      <c r="Y2508" s="38" t="str">
        <f t="shared" si="485"/>
        <v/>
      </c>
      <c r="Z2508" s="29"/>
      <c r="AT2508" s="1">
        <f t="shared" si="480"/>
        <v>0</v>
      </c>
      <c r="AU2508" s="1">
        <f t="shared" si="481"/>
        <v>0</v>
      </c>
      <c r="AV2508" s="1">
        <f t="shared" si="482"/>
        <v>0</v>
      </c>
      <c r="AW2508" s="1">
        <f t="shared" si="483"/>
        <v>0</v>
      </c>
      <c r="AX2508" s="1">
        <f t="shared" si="484"/>
        <v>0</v>
      </c>
    </row>
    <row r="2509" spans="1:50" s="1" customFormat="1" ht="21.95" customHeight="1" outlineLevel="3" x14ac:dyDescent="0.2">
      <c r="A2509" s="26"/>
      <c r="B2509" s="28">
        <v>5990</v>
      </c>
      <c r="C2509" s="28">
        <v>5990</v>
      </c>
      <c r="D2509" s="29" t="s">
        <v>8199</v>
      </c>
      <c r="E2509" s="29" t="s">
        <v>3054</v>
      </c>
      <c r="F2509" s="29" t="s">
        <v>8200</v>
      </c>
      <c r="G2509" s="29" t="s">
        <v>97</v>
      </c>
      <c r="H2509" s="29" t="s">
        <v>8179</v>
      </c>
      <c r="I2509" s="27">
        <v>2023</v>
      </c>
      <c r="J2509" s="29" t="s">
        <v>8199</v>
      </c>
      <c r="K2509" s="27">
        <v>9785206002102</v>
      </c>
      <c r="L2509" s="29" t="s">
        <v>8201</v>
      </c>
      <c r="M2509" s="27">
        <v>392</v>
      </c>
      <c r="N2509" s="30">
        <v>0.61</v>
      </c>
      <c r="O2509" s="27">
        <v>146</v>
      </c>
      <c r="P2509" s="27">
        <v>216</v>
      </c>
      <c r="Q2509" s="27">
        <v>1</v>
      </c>
      <c r="R2509" s="29" t="s">
        <v>43</v>
      </c>
      <c r="S2509" s="29" t="s">
        <v>8135</v>
      </c>
      <c r="T2509" s="28">
        <v>3500</v>
      </c>
      <c r="U2509" s="29" t="s">
        <v>52</v>
      </c>
      <c r="V2509" s="29" t="s">
        <v>45</v>
      </c>
      <c r="W2509" s="27">
        <v>20</v>
      </c>
      <c r="X2509" s="37" t="str">
        <f>HYPERLINK("https://alpinabook.ru/catalog/book-metavselennaya-tom-107-biblioteka-sbera/","ссылка на книгу")</f>
        <v>ссылка на книгу</v>
      </c>
      <c r="Y2509" s="38" t="str">
        <f t="shared" si="485"/>
        <v/>
      </c>
      <c r="Z2509" s="29"/>
      <c r="AT2509" s="1">
        <f t="shared" si="480"/>
        <v>0</v>
      </c>
      <c r="AU2509" s="1">
        <f t="shared" si="481"/>
        <v>0</v>
      </c>
      <c r="AV2509" s="1">
        <f t="shared" si="482"/>
        <v>0</v>
      </c>
      <c r="AW2509" s="1">
        <f t="shared" si="483"/>
        <v>0</v>
      </c>
      <c r="AX2509" s="1">
        <f t="shared" si="484"/>
        <v>0</v>
      </c>
    </row>
    <row r="2510" spans="1:50" s="1" customFormat="1" ht="24.95" customHeight="1" outlineLevel="3" x14ac:dyDescent="0.2">
      <c r="A2510" s="26"/>
      <c r="B2510" s="28">
        <v>5990</v>
      </c>
      <c r="C2510" s="28">
        <v>5990</v>
      </c>
      <c r="D2510" s="29" t="s">
        <v>8202</v>
      </c>
      <c r="E2510" s="29" t="s">
        <v>8203</v>
      </c>
      <c r="F2510" s="29" t="s">
        <v>8204</v>
      </c>
      <c r="G2510" s="29" t="s">
        <v>97</v>
      </c>
      <c r="H2510" s="29" t="s">
        <v>8179</v>
      </c>
      <c r="I2510" s="27">
        <v>2024</v>
      </c>
      <c r="J2510" s="29" t="s">
        <v>8202</v>
      </c>
      <c r="K2510" s="27">
        <v>9785206002119</v>
      </c>
      <c r="L2510" s="29" t="s">
        <v>8205</v>
      </c>
      <c r="M2510" s="27">
        <v>242</v>
      </c>
      <c r="N2510" s="30">
        <v>0.42</v>
      </c>
      <c r="O2510" s="27">
        <v>146</v>
      </c>
      <c r="P2510" s="27">
        <v>216</v>
      </c>
      <c r="Q2510" s="27">
        <v>1</v>
      </c>
      <c r="R2510" s="29" t="s">
        <v>43</v>
      </c>
      <c r="S2510" s="29" t="s">
        <v>8135</v>
      </c>
      <c r="T2510" s="28">
        <v>3500</v>
      </c>
      <c r="U2510" s="29" t="s">
        <v>52</v>
      </c>
      <c r="V2510" s="29" t="s">
        <v>59</v>
      </c>
      <c r="W2510" s="27">
        <v>20</v>
      </c>
      <c r="X2510" s="37" t="str">
        <f>HYPERLINK("https://alpinabook.ru/catalog/book-dizayn-vpechatleniy-tom-108-biblioteka-sbera/","ссылка на книгу")</f>
        <v>ссылка на книгу</v>
      </c>
      <c r="Y2510" s="38" t="str">
        <f t="shared" si="485"/>
        <v/>
      </c>
      <c r="Z2510" s="29"/>
      <c r="AT2510" s="1">
        <f t="shared" si="480"/>
        <v>0</v>
      </c>
      <c r="AU2510" s="1">
        <f t="shared" si="481"/>
        <v>0</v>
      </c>
      <c r="AV2510" s="1">
        <f t="shared" si="482"/>
        <v>0</v>
      </c>
      <c r="AW2510" s="1">
        <f t="shared" si="483"/>
        <v>0</v>
      </c>
      <c r="AX2510" s="1">
        <f t="shared" si="484"/>
        <v>0</v>
      </c>
    </row>
    <row r="2511" spans="1:50" s="1" customFormat="1" ht="24.95" customHeight="1" outlineLevel="3" x14ac:dyDescent="0.2">
      <c r="A2511" s="26"/>
      <c r="B2511" s="28">
        <v>5990</v>
      </c>
      <c r="C2511" s="28">
        <v>5990</v>
      </c>
      <c r="D2511" s="29" t="s">
        <v>8206</v>
      </c>
      <c r="E2511" s="29" t="s">
        <v>8207</v>
      </c>
      <c r="F2511" s="29" t="s">
        <v>8208</v>
      </c>
      <c r="G2511" s="29" t="s">
        <v>8209</v>
      </c>
      <c r="H2511" s="29" t="s">
        <v>8179</v>
      </c>
      <c r="I2511" s="27">
        <v>2023</v>
      </c>
      <c r="J2511" s="29" t="s">
        <v>8206</v>
      </c>
      <c r="K2511" s="27">
        <v>9785041896805</v>
      </c>
      <c r="L2511" s="29" t="s">
        <v>8210</v>
      </c>
      <c r="M2511" s="27">
        <v>224</v>
      </c>
      <c r="N2511" s="30">
        <v>0.38</v>
      </c>
      <c r="O2511" s="27">
        <v>150</v>
      </c>
      <c r="P2511" s="27">
        <v>210</v>
      </c>
      <c r="Q2511" s="27">
        <v>1</v>
      </c>
      <c r="R2511" s="29" t="s">
        <v>43</v>
      </c>
      <c r="S2511" s="29" t="s">
        <v>8135</v>
      </c>
      <c r="T2511" s="28">
        <v>3000</v>
      </c>
      <c r="U2511" s="29" t="s">
        <v>52</v>
      </c>
      <c r="V2511" s="29" t="s">
        <v>59</v>
      </c>
      <c r="W2511" s="27">
        <v>20</v>
      </c>
      <c r="X2511" s="37" t="str">
        <f>HYPERLINK("https://alpinabook.ru/catalog/book-defi-i-budushchee-finansov-tom-109-biblioteka-sbera/","ссылка на книгу")</f>
        <v>ссылка на книгу</v>
      </c>
      <c r="Y2511" s="38" t="str">
        <f t="shared" si="485"/>
        <v/>
      </c>
      <c r="Z2511" s="29"/>
      <c r="AT2511" s="1">
        <f t="shared" si="480"/>
        <v>0</v>
      </c>
      <c r="AU2511" s="1">
        <f t="shared" si="481"/>
        <v>0</v>
      </c>
      <c r="AV2511" s="1">
        <f t="shared" si="482"/>
        <v>0</v>
      </c>
      <c r="AW2511" s="1">
        <f t="shared" si="483"/>
        <v>0</v>
      </c>
      <c r="AX2511" s="1">
        <f t="shared" si="484"/>
        <v>0</v>
      </c>
    </row>
    <row r="2512" spans="1:50" s="1" customFormat="1" ht="21.95" customHeight="1" outlineLevel="3" x14ac:dyDescent="0.2">
      <c r="A2512" s="26"/>
      <c r="B2512" s="28">
        <v>5990</v>
      </c>
      <c r="C2512" s="28">
        <v>5990</v>
      </c>
      <c r="D2512" s="29" t="s">
        <v>8211</v>
      </c>
      <c r="E2512" s="29" t="s">
        <v>1370</v>
      </c>
      <c r="F2512" s="29" t="s">
        <v>8212</v>
      </c>
      <c r="G2512" s="29" t="s">
        <v>97</v>
      </c>
      <c r="H2512" s="29" t="s">
        <v>8179</v>
      </c>
      <c r="I2512" s="27">
        <v>2023</v>
      </c>
      <c r="J2512" s="29" t="s">
        <v>8211</v>
      </c>
      <c r="K2512" s="27">
        <v>9785206002553</v>
      </c>
      <c r="L2512" s="29" t="s">
        <v>8213</v>
      </c>
      <c r="M2512" s="27">
        <v>205</v>
      </c>
      <c r="N2512" s="30">
        <v>0.37</v>
      </c>
      <c r="O2512" s="27">
        <v>146</v>
      </c>
      <c r="P2512" s="27">
        <v>216</v>
      </c>
      <c r="Q2512" s="27">
        <v>1</v>
      </c>
      <c r="R2512" s="29" t="s">
        <v>43</v>
      </c>
      <c r="S2512" s="29" t="s">
        <v>8135</v>
      </c>
      <c r="T2512" s="28">
        <v>3500</v>
      </c>
      <c r="U2512" s="29" t="s">
        <v>52</v>
      </c>
      <c r="V2512" s="29" t="s">
        <v>59</v>
      </c>
      <c r="W2512" s="27">
        <v>20</v>
      </c>
      <c r="X2512" s="37" t="str">
        <f>HYPERLINK("https://alpinabook.ru/catalog/book-osoznannoe-nepodchinenie-tom-110-biblioteka-sbera/","ссылка на книгу")</f>
        <v>ссылка на книгу</v>
      </c>
      <c r="Y2512" s="38" t="str">
        <f t="shared" si="485"/>
        <v/>
      </c>
      <c r="Z2512" s="29"/>
      <c r="AT2512" s="1">
        <f t="shared" si="480"/>
        <v>0</v>
      </c>
      <c r="AU2512" s="1">
        <f t="shared" si="481"/>
        <v>0</v>
      </c>
      <c r="AV2512" s="1">
        <f t="shared" si="482"/>
        <v>0</v>
      </c>
      <c r="AW2512" s="1">
        <f t="shared" si="483"/>
        <v>0</v>
      </c>
      <c r="AX2512" s="1">
        <f t="shared" si="484"/>
        <v>0</v>
      </c>
    </row>
    <row r="2513" spans="1:50" s="1" customFormat="1" ht="24.95" customHeight="1" outlineLevel="3" x14ac:dyDescent="0.2">
      <c r="A2513" s="26"/>
      <c r="B2513" s="28">
        <v>4990</v>
      </c>
      <c r="C2513" s="28">
        <v>4990</v>
      </c>
      <c r="D2513" s="29" t="s">
        <v>8214</v>
      </c>
      <c r="E2513" s="29" t="s">
        <v>8215</v>
      </c>
      <c r="F2513" s="29" t="s">
        <v>8216</v>
      </c>
      <c r="G2513" s="29" t="s">
        <v>56</v>
      </c>
      <c r="H2513" s="29" t="s">
        <v>40</v>
      </c>
      <c r="I2513" s="27">
        <v>2019</v>
      </c>
      <c r="J2513" s="29" t="s">
        <v>8217</v>
      </c>
      <c r="K2513" s="27">
        <v>9785961416169</v>
      </c>
      <c r="L2513" s="29" t="s">
        <v>8218</v>
      </c>
      <c r="M2513" s="27">
        <v>330</v>
      </c>
      <c r="N2513" s="30">
        <v>0.56000000000000005</v>
      </c>
      <c r="O2513" s="27">
        <v>146</v>
      </c>
      <c r="P2513" s="27">
        <v>217</v>
      </c>
      <c r="Q2513" s="27">
        <v>1</v>
      </c>
      <c r="R2513" s="29" t="s">
        <v>43</v>
      </c>
      <c r="S2513" s="29" t="s">
        <v>8135</v>
      </c>
      <c r="T2513" s="28">
        <v>1000</v>
      </c>
      <c r="U2513" s="29" t="s">
        <v>52</v>
      </c>
      <c r="V2513" s="29" t="s">
        <v>64</v>
      </c>
      <c r="W2513" s="27">
        <v>20</v>
      </c>
      <c r="X2513" s="37" t="str">
        <f>HYPERLINK("https://www.alpinabook.ru/catalog/book-584289/","ссылка на книгу")</f>
        <v>ссылка на книгу</v>
      </c>
      <c r="Y2513" s="38" t="str">
        <f t="shared" si="485"/>
        <v/>
      </c>
      <c r="Z2513" s="29"/>
      <c r="AT2513" s="1">
        <f t="shared" si="480"/>
        <v>0</v>
      </c>
      <c r="AU2513" s="1">
        <f t="shared" si="481"/>
        <v>0</v>
      </c>
      <c r="AV2513" s="1">
        <f t="shared" si="482"/>
        <v>0</v>
      </c>
      <c r="AW2513" s="1">
        <f t="shared" si="483"/>
        <v>0</v>
      </c>
      <c r="AX2513" s="1">
        <f t="shared" si="484"/>
        <v>0</v>
      </c>
    </row>
    <row r="2514" spans="1:50" s="1" customFormat="1" ht="21.95" customHeight="1" outlineLevel="3" x14ac:dyDescent="0.2">
      <c r="A2514" s="26"/>
      <c r="B2514" s="28">
        <v>5490</v>
      </c>
      <c r="C2514" s="28">
        <v>5490</v>
      </c>
      <c r="D2514" s="29" t="s">
        <v>8219</v>
      </c>
      <c r="E2514" s="29" t="s">
        <v>8220</v>
      </c>
      <c r="F2514" s="29" t="s">
        <v>8221</v>
      </c>
      <c r="G2514" s="29" t="s">
        <v>8194</v>
      </c>
      <c r="H2514" s="29" t="s">
        <v>40</v>
      </c>
      <c r="I2514" s="27">
        <v>2016</v>
      </c>
      <c r="J2514" s="29" t="s">
        <v>8222</v>
      </c>
      <c r="K2514" s="27">
        <v>9785000570883</v>
      </c>
      <c r="L2514" s="29" t="s">
        <v>8223</v>
      </c>
      <c r="M2514" s="27">
        <v>464</v>
      </c>
      <c r="N2514" s="30">
        <v>0.84</v>
      </c>
      <c r="O2514" s="27">
        <v>146</v>
      </c>
      <c r="P2514" s="27">
        <v>217</v>
      </c>
      <c r="Q2514" s="27">
        <v>1</v>
      </c>
      <c r="R2514" s="29" t="s">
        <v>43</v>
      </c>
      <c r="S2514" s="29" t="s">
        <v>8135</v>
      </c>
      <c r="T2514" s="28">
        <v>2500</v>
      </c>
      <c r="U2514" s="29" t="s">
        <v>52</v>
      </c>
      <c r="V2514" s="29" t="s">
        <v>64</v>
      </c>
      <c r="W2514" s="27">
        <v>20</v>
      </c>
      <c r="X2514" s="37" t="str">
        <f>HYPERLINK("https://alpinabook.ru/catalog/book-emotsionalnyy-intellekt-sberbank/","ссылка на книгу")</f>
        <v>ссылка на книгу</v>
      </c>
      <c r="Y2514" s="38" t="str">
        <f t="shared" si="485"/>
        <v/>
      </c>
      <c r="Z2514" s="29"/>
      <c r="AT2514" s="1">
        <f t="shared" si="480"/>
        <v>0</v>
      </c>
      <c r="AU2514" s="1">
        <f t="shared" si="481"/>
        <v>0</v>
      </c>
      <c r="AV2514" s="1">
        <f t="shared" si="482"/>
        <v>0</v>
      </c>
      <c r="AW2514" s="1">
        <f t="shared" si="483"/>
        <v>0</v>
      </c>
      <c r="AX2514" s="1">
        <f t="shared" si="484"/>
        <v>0</v>
      </c>
    </row>
    <row r="2515" spans="1:50" s="1" customFormat="1" ht="21.95" customHeight="1" outlineLevel="3" x14ac:dyDescent="0.2">
      <c r="A2515" s="26"/>
      <c r="B2515" s="28">
        <v>4490</v>
      </c>
      <c r="C2515" s="28">
        <v>4490</v>
      </c>
      <c r="D2515" s="29" t="s">
        <v>8224</v>
      </c>
      <c r="E2515" s="29" t="s">
        <v>8225</v>
      </c>
      <c r="F2515" s="29" t="s">
        <v>8226</v>
      </c>
      <c r="G2515" s="29" t="s">
        <v>8194</v>
      </c>
      <c r="H2515" s="29" t="s">
        <v>40</v>
      </c>
      <c r="I2515" s="27">
        <v>2018</v>
      </c>
      <c r="J2515" s="29" t="s">
        <v>8227</v>
      </c>
      <c r="K2515" s="27">
        <v>9785001177975</v>
      </c>
      <c r="L2515" s="29" t="s">
        <v>8228</v>
      </c>
      <c r="M2515" s="27">
        <v>496</v>
      </c>
      <c r="N2515" s="30">
        <v>0.73</v>
      </c>
      <c r="O2515" s="27">
        <v>146</v>
      </c>
      <c r="P2515" s="27">
        <v>217</v>
      </c>
      <c r="Q2515" s="27">
        <v>1</v>
      </c>
      <c r="R2515" s="29" t="s">
        <v>43</v>
      </c>
      <c r="S2515" s="29" t="s">
        <v>8135</v>
      </c>
      <c r="T2515" s="28">
        <v>6000</v>
      </c>
      <c r="U2515" s="29" t="s">
        <v>52</v>
      </c>
      <c r="V2515" s="29" t="s">
        <v>64</v>
      </c>
      <c r="W2515" s="27">
        <v>20</v>
      </c>
      <c r="X2515" s="37" t="str">
        <f>HYPERLINK("https://alpinabook.ru/catalog/book-berezhlivoe-proizvodstvo-shest-sigm-v-sfere-uslug-sberbank/","ссылка на книгу")</f>
        <v>ссылка на книгу</v>
      </c>
      <c r="Y2515" s="38" t="str">
        <f t="shared" si="485"/>
        <v/>
      </c>
      <c r="Z2515" s="29"/>
      <c r="AT2515" s="1">
        <f t="shared" si="480"/>
        <v>0</v>
      </c>
      <c r="AU2515" s="1">
        <f t="shared" si="481"/>
        <v>0</v>
      </c>
      <c r="AV2515" s="1">
        <f t="shared" si="482"/>
        <v>0</v>
      </c>
      <c r="AW2515" s="1">
        <f t="shared" si="483"/>
        <v>0</v>
      </c>
      <c r="AX2515" s="1">
        <f t="shared" si="484"/>
        <v>0</v>
      </c>
    </row>
    <row r="2516" spans="1:50" s="1" customFormat="1" ht="21.95" customHeight="1" outlineLevel="3" x14ac:dyDescent="0.2">
      <c r="A2516" s="26"/>
      <c r="B2516" s="28">
        <v>4490</v>
      </c>
      <c r="C2516" s="28">
        <v>4490</v>
      </c>
      <c r="D2516" s="29" t="s">
        <v>8229</v>
      </c>
      <c r="E2516" s="29" t="s">
        <v>8230</v>
      </c>
      <c r="F2516" s="29" t="s">
        <v>8231</v>
      </c>
      <c r="G2516" s="29" t="s">
        <v>8232</v>
      </c>
      <c r="H2516" s="29" t="s">
        <v>40</v>
      </c>
      <c r="I2516" s="27">
        <v>2018</v>
      </c>
      <c r="J2516" s="29" t="s">
        <v>8233</v>
      </c>
      <c r="K2516" s="27">
        <v>9785040957828</v>
      </c>
      <c r="L2516" s="29" t="s">
        <v>8234</v>
      </c>
      <c r="M2516" s="27">
        <v>600</v>
      </c>
      <c r="N2516" s="30">
        <v>1</v>
      </c>
      <c r="O2516" s="27">
        <v>146</v>
      </c>
      <c r="P2516" s="27">
        <v>217</v>
      </c>
      <c r="Q2516" s="27">
        <v>1</v>
      </c>
      <c r="R2516" s="29" t="s">
        <v>43</v>
      </c>
      <c r="S2516" s="29" t="s">
        <v>8135</v>
      </c>
      <c r="T2516" s="28">
        <v>1000</v>
      </c>
      <c r="U2516" s="29" t="s">
        <v>52</v>
      </c>
      <c r="V2516" s="29" t="s">
        <v>64</v>
      </c>
      <c r="W2516" s="27">
        <v>20</v>
      </c>
      <c r="X2516" s="37" t="str">
        <f>HYPERLINK("https://alpinabook.ru/catalog/book-menedzhment-sberbank/","ссылка на книгу")</f>
        <v>ссылка на книгу</v>
      </c>
      <c r="Y2516" s="38" t="str">
        <f t="shared" si="485"/>
        <v/>
      </c>
      <c r="Z2516" s="29"/>
      <c r="AT2516" s="1">
        <f t="shared" si="480"/>
        <v>0</v>
      </c>
      <c r="AU2516" s="1">
        <f t="shared" si="481"/>
        <v>0</v>
      </c>
      <c r="AV2516" s="1">
        <f t="shared" si="482"/>
        <v>0</v>
      </c>
      <c r="AW2516" s="1">
        <f t="shared" si="483"/>
        <v>0</v>
      </c>
      <c r="AX2516" s="1">
        <f t="shared" si="484"/>
        <v>0</v>
      </c>
    </row>
    <row r="2517" spans="1:50" s="1" customFormat="1" ht="21.95" customHeight="1" outlineLevel="3" x14ac:dyDescent="0.2">
      <c r="A2517" s="26"/>
      <c r="B2517" s="28">
        <v>5490</v>
      </c>
      <c r="C2517" s="28">
        <v>5490</v>
      </c>
      <c r="D2517" s="29" t="s">
        <v>8235</v>
      </c>
      <c r="E2517" s="29" t="s">
        <v>8236</v>
      </c>
      <c r="F2517" s="29" t="s">
        <v>8237</v>
      </c>
      <c r="G2517" s="29" t="s">
        <v>8238</v>
      </c>
      <c r="H2517" s="29" t="s">
        <v>8239</v>
      </c>
      <c r="I2517" s="27">
        <v>2019</v>
      </c>
      <c r="J2517" s="29" t="s">
        <v>8240</v>
      </c>
      <c r="K2517" s="27">
        <v>9785399002699</v>
      </c>
      <c r="L2517" s="29" t="s">
        <v>8241</v>
      </c>
      <c r="M2517" s="27">
        <v>196</v>
      </c>
      <c r="N2517" s="30">
        <v>0.33</v>
      </c>
      <c r="O2517" s="27">
        <v>146</v>
      </c>
      <c r="P2517" s="27">
        <v>217</v>
      </c>
      <c r="Q2517" s="27">
        <v>1</v>
      </c>
      <c r="R2517" s="29" t="s">
        <v>43</v>
      </c>
      <c r="S2517" s="29" t="s">
        <v>8135</v>
      </c>
      <c r="T2517" s="28">
        <v>1002</v>
      </c>
      <c r="U2517" s="29" t="s">
        <v>8242</v>
      </c>
      <c r="V2517" s="29" t="s">
        <v>64</v>
      </c>
      <c r="W2517" s="27">
        <v>20</v>
      </c>
      <c r="X2517" s="37" t="str">
        <f>HYPERLINK("https://www.alpinabook.ru/catalog/book-584334/","ссылка на книгу")</f>
        <v>ссылка на книгу</v>
      </c>
      <c r="Y2517" s="38" t="str">
        <f t="shared" si="485"/>
        <v/>
      </c>
      <c r="Z2517" s="29"/>
      <c r="AT2517" s="1">
        <f t="shared" si="480"/>
        <v>0</v>
      </c>
      <c r="AU2517" s="1">
        <f t="shared" si="481"/>
        <v>0</v>
      </c>
      <c r="AV2517" s="1">
        <f t="shared" si="482"/>
        <v>0</v>
      </c>
      <c r="AW2517" s="1">
        <f t="shared" si="483"/>
        <v>0</v>
      </c>
      <c r="AX2517" s="1">
        <f t="shared" si="484"/>
        <v>0</v>
      </c>
    </row>
    <row r="2518" spans="1:50" s="1" customFormat="1" ht="21.95" customHeight="1" outlineLevel="3" x14ac:dyDescent="0.2">
      <c r="A2518" s="26"/>
      <c r="B2518" s="28">
        <v>4990</v>
      </c>
      <c r="C2518" s="28">
        <v>4990</v>
      </c>
      <c r="D2518" s="29" t="s">
        <v>8243</v>
      </c>
      <c r="E2518" s="29" t="s">
        <v>8244</v>
      </c>
      <c r="F2518" s="29" t="s">
        <v>8245</v>
      </c>
      <c r="G2518" s="29" t="s">
        <v>56</v>
      </c>
      <c r="H2518" s="29" t="s">
        <v>40</v>
      </c>
      <c r="I2518" s="27">
        <v>2019</v>
      </c>
      <c r="J2518" s="29" t="s">
        <v>8246</v>
      </c>
      <c r="K2518" s="31">
        <v>9785961473124</v>
      </c>
      <c r="L2518" s="29" t="s">
        <v>8247</v>
      </c>
      <c r="M2518" s="27">
        <v>284</v>
      </c>
      <c r="N2518" s="30">
        <v>0.48</v>
      </c>
      <c r="O2518" s="27">
        <v>146</v>
      </c>
      <c r="P2518" s="27">
        <v>217</v>
      </c>
      <c r="Q2518" s="27">
        <v>1</v>
      </c>
      <c r="R2518" s="29" t="s">
        <v>43</v>
      </c>
      <c r="S2518" s="29" t="s">
        <v>8135</v>
      </c>
      <c r="T2518" s="28">
        <v>1000</v>
      </c>
      <c r="U2518" s="29" t="s">
        <v>8242</v>
      </c>
      <c r="V2518" s="29" t="s">
        <v>64</v>
      </c>
      <c r="W2518" s="27">
        <v>20</v>
      </c>
      <c r="X2518" s="37" t="str">
        <f>HYPERLINK("https://www.alpinabook.ru/catalog/book-584338/","ссылка на книгу")</f>
        <v>ссылка на книгу</v>
      </c>
      <c r="Y2518" s="38" t="str">
        <f t="shared" si="485"/>
        <v/>
      </c>
      <c r="Z2518" s="29"/>
      <c r="AT2518" s="1">
        <f t="shared" si="480"/>
        <v>0</v>
      </c>
      <c r="AU2518" s="1">
        <f t="shared" si="481"/>
        <v>0</v>
      </c>
      <c r="AV2518" s="1">
        <f t="shared" si="482"/>
        <v>0</v>
      </c>
      <c r="AW2518" s="1">
        <f t="shared" si="483"/>
        <v>0</v>
      </c>
      <c r="AX2518" s="1">
        <f t="shared" si="484"/>
        <v>0</v>
      </c>
    </row>
    <row r="2519" spans="1:50" s="1" customFormat="1" ht="24.95" customHeight="1" outlineLevel="3" x14ac:dyDescent="0.2">
      <c r="A2519" s="26"/>
      <c r="B2519" s="28">
        <v>3990</v>
      </c>
      <c r="C2519" s="28">
        <v>3990</v>
      </c>
      <c r="D2519" s="29" t="s">
        <v>8248</v>
      </c>
      <c r="E2519" s="29" t="s">
        <v>8249</v>
      </c>
      <c r="F2519" s="29" t="s">
        <v>8250</v>
      </c>
      <c r="G2519" s="29" t="s">
        <v>56</v>
      </c>
      <c r="H2519" s="29" t="s">
        <v>40</v>
      </c>
      <c r="I2519" s="27">
        <v>2018</v>
      </c>
      <c r="J2519" s="29" t="s">
        <v>8251</v>
      </c>
      <c r="K2519" s="27">
        <v>9785961418897</v>
      </c>
      <c r="L2519" s="29" t="s">
        <v>8252</v>
      </c>
      <c r="M2519" s="27">
        <v>460</v>
      </c>
      <c r="N2519" s="30">
        <v>0.78</v>
      </c>
      <c r="O2519" s="27">
        <v>146</v>
      </c>
      <c r="P2519" s="27">
        <v>217</v>
      </c>
      <c r="Q2519" s="27">
        <v>1</v>
      </c>
      <c r="R2519" s="29" t="s">
        <v>43</v>
      </c>
      <c r="S2519" s="29" t="s">
        <v>8135</v>
      </c>
      <c r="T2519" s="28">
        <v>1000</v>
      </c>
      <c r="U2519" s="29" t="s">
        <v>52</v>
      </c>
      <c r="V2519" s="29" t="s">
        <v>64</v>
      </c>
      <c r="W2519" s="27">
        <v>20</v>
      </c>
      <c r="X2519" s="37" t="str">
        <f>HYPERLINK("https://alpinabook.ru/catalog/book-vikinomika-sberbank/","ссылка на книгу")</f>
        <v>ссылка на книгу</v>
      </c>
      <c r="Y2519" s="38" t="str">
        <f t="shared" si="485"/>
        <v/>
      </c>
      <c r="Z2519" s="29"/>
      <c r="AT2519" s="1">
        <f t="shared" si="480"/>
        <v>0</v>
      </c>
      <c r="AU2519" s="1">
        <f t="shared" si="481"/>
        <v>0</v>
      </c>
      <c r="AV2519" s="1">
        <f t="shared" si="482"/>
        <v>0</v>
      </c>
      <c r="AW2519" s="1">
        <f t="shared" si="483"/>
        <v>0</v>
      </c>
      <c r="AX2519" s="1">
        <f t="shared" si="484"/>
        <v>0</v>
      </c>
    </row>
    <row r="2520" spans="1:50" s="1" customFormat="1" ht="21.95" customHeight="1" outlineLevel="3" x14ac:dyDescent="0.2">
      <c r="A2520" s="26"/>
      <c r="B2520" s="28">
        <v>3990</v>
      </c>
      <c r="C2520" s="28">
        <v>3990</v>
      </c>
      <c r="D2520" s="29" t="s">
        <v>8253</v>
      </c>
      <c r="E2520" s="29" t="s">
        <v>8254</v>
      </c>
      <c r="F2520" s="29" t="s">
        <v>8255</v>
      </c>
      <c r="G2520" s="29" t="s">
        <v>56</v>
      </c>
      <c r="H2520" s="29" t="s">
        <v>1391</v>
      </c>
      <c r="I2520" s="27">
        <v>2019</v>
      </c>
      <c r="J2520" s="29" t="s">
        <v>8256</v>
      </c>
      <c r="K2520" s="27">
        <v>9785961417838</v>
      </c>
      <c r="L2520" s="29" t="s">
        <v>8257</v>
      </c>
      <c r="M2520" s="27">
        <v>610</v>
      </c>
      <c r="N2520" s="30">
        <v>0.9</v>
      </c>
      <c r="O2520" s="27">
        <v>146</v>
      </c>
      <c r="P2520" s="27">
        <v>217</v>
      </c>
      <c r="Q2520" s="27">
        <v>1</v>
      </c>
      <c r="R2520" s="29" t="s">
        <v>43</v>
      </c>
      <c r="S2520" s="29" t="s">
        <v>8135</v>
      </c>
      <c r="T2520" s="28">
        <v>1000</v>
      </c>
      <c r="U2520" s="29" t="s">
        <v>52</v>
      </c>
      <c r="V2520" s="29" t="s">
        <v>64</v>
      </c>
      <c r="W2520" s="27">
        <v>20</v>
      </c>
      <c r="X2520" s="37" t="str">
        <f>HYPERLINK("https://www.alpinabook.ru/catalog/book-584357/","ссылка на книгу")</f>
        <v>ссылка на книгу</v>
      </c>
      <c r="Y2520" s="38" t="str">
        <f t="shared" si="485"/>
        <v/>
      </c>
      <c r="Z2520" s="29"/>
      <c r="AT2520" s="1">
        <f t="shared" si="480"/>
        <v>0</v>
      </c>
      <c r="AU2520" s="1">
        <f t="shared" si="481"/>
        <v>0</v>
      </c>
      <c r="AV2520" s="1">
        <f t="shared" si="482"/>
        <v>0</v>
      </c>
      <c r="AW2520" s="1">
        <f t="shared" si="483"/>
        <v>0</v>
      </c>
      <c r="AX2520" s="1">
        <f t="shared" si="484"/>
        <v>0</v>
      </c>
    </row>
    <row r="2521" spans="1:50" s="1" customFormat="1" ht="21.95" customHeight="1" outlineLevel="3" x14ac:dyDescent="0.2">
      <c r="A2521" s="26"/>
      <c r="B2521" s="28">
        <v>3990</v>
      </c>
      <c r="C2521" s="28">
        <v>3990</v>
      </c>
      <c r="D2521" s="29" t="s">
        <v>8258</v>
      </c>
      <c r="E2521" s="29" t="s">
        <v>8259</v>
      </c>
      <c r="F2521" s="29" t="s">
        <v>8260</v>
      </c>
      <c r="G2521" s="29" t="s">
        <v>56</v>
      </c>
      <c r="H2521" s="29" t="s">
        <v>40</v>
      </c>
      <c r="I2521" s="27">
        <v>2018</v>
      </c>
      <c r="J2521" s="29" t="s">
        <v>8261</v>
      </c>
      <c r="K2521" s="27">
        <v>9785961420593</v>
      </c>
      <c r="L2521" s="29" t="s">
        <v>8262</v>
      </c>
      <c r="M2521" s="27">
        <v>632</v>
      </c>
      <c r="N2521" s="30">
        <v>1.1000000000000001</v>
      </c>
      <c r="O2521" s="27">
        <v>146</v>
      </c>
      <c r="P2521" s="27">
        <v>217</v>
      </c>
      <c r="Q2521" s="27">
        <v>1</v>
      </c>
      <c r="R2521" s="29" t="s">
        <v>43</v>
      </c>
      <c r="S2521" s="29" t="s">
        <v>8135</v>
      </c>
      <c r="T2521" s="28">
        <v>1000</v>
      </c>
      <c r="U2521" s="29" t="s">
        <v>52</v>
      </c>
      <c r="V2521" s="29" t="s">
        <v>64</v>
      </c>
      <c r="W2521" s="27">
        <v>20</v>
      </c>
      <c r="X2521" s="37" t="str">
        <f>HYPERLINK("https://www.alpinabook.ru/catalog/book-584361/","ссылка на книгу")</f>
        <v>ссылка на книгу</v>
      </c>
      <c r="Y2521" s="38" t="str">
        <f t="shared" si="485"/>
        <v/>
      </c>
      <c r="Z2521" s="29"/>
      <c r="AT2521" s="1">
        <f t="shared" si="480"/>
        <v>0</v>
      </c>
      <c r="AU2521" s="1">
        <f t="shared" si="481"/>
        <v>0</v>
      </c>
      <c r="AV2521" s="1">
        <f t="shared" si="482"/>
        <v>0</v>
      </c>
      <c r="AW2521" s="1">
        <f t="shared" si="483"/>
        <v>0</v>
      </c>
      <c r="AX2521" s="1">
        <f t="shared" si="484"/>
        <v>0</v>
      </c>
    </row>
    <row r="2522" spans="1:50" s="1" customFormat="1" ht="24.95" customHeight="1" outlineLevel="3" x14ac:dyDescent="0.2">
      <c r="A2522" s="26"/>
      <c r="B2522" s="28">
        <v>4990</v>
      </c>
      <c r="C2522" s="28">
        <v>4990</v>
      </c>
      <c r="D2522" s="29" t="s">
        <v>8263</v>
      </c>
      <c r="E2522" s="29" t="s">
        <v>8264</v>
      </c>
      <c r="F2522" s="29" t="s">
        <v>8265</v>
      </c>
      <c r="G2522" s="29" t="s">
        <v>56</v>
      </c>
      <c r="H2522" s="29" t="s">
        <v>40</v>
      </c>
      <c r="I2522" s="27">
        <v>2013</v>
      </c>
      <c r="J2522" s="29" t="s">
        <v>8266</v>
      </c>
      <c r="K2522" s="27">
        <v>9785961445848</v>
      </c>
      <c r="L2522" s="29" t="s">
        <v>8267</v>
      </c>
      <c r="M2522" s="27">
        <v>250</v>
      </c>
      <c r="N2522" s="30">
        <v>0.43</v>
      </c>
      <c r="O2522" s="27">
        <v>146</v>
      </c>
      <c r="P2522" s="27">
        <v>217</v>
      </c>
      <c r="Q2522" s="27">
        <v>1</v>
      </c>
      <c r="R2522" s="29" t="s">
        <v>43</v>
      </c>
      <c r="S2522" s="29" t="s">
        <v>8135</v>
      </c>
      <c r="T2522" s="28">
        <v>1000</v>
      </c>
      <c r="U2522" s="29" t="s">
        <v>52</v>
      </c>
      <c r="V2522" s="29" t="s">
        <v>64</v>
      </c>
      <c r="W2522" s="27">
        <v>20</v>
      </c>
      <c r="X2522" s="37" t="str">
        <f>HYPERLINK("https://alpinabook.ru/catalog/book-upravlenie-rezultativnostyu-sberbank/","ссылка на книгу")</f>
        <v>ссылка на книгу</v>
      </c>
      <c r="Y2522" s="38" t="str">
        <f t="shared" si="485"/>
        <v/>
      </c>
      <c r="Z2522" s="29"/>
      <c r="AT2522" s="1">
        <f t="shared" si="480"/>
        <v>0</v>
      </c>
      <c r="AU2522" s="1">
        <f t="shared" si="481"/>
        <v>0</v>
      </c>
      <c r="AV2522" s="1">
        <f t="shared" si="482"/>
        <v>0</v>
      </c>
      <c r="AW2522" s="1">
        <f t="shared" si="483"/>
        <v>0</v>
      </c>
      <c r="AX2522" s="1">
        <f t="shared" si="484"/>
        <v>0</v>
      </c>
    </row>
    <row r="2523" spans="1:50" s="1" customFormat="1" ht="21.95" customHeight="1" outlineLevel="3" x14ac:dyDescent="0.2">
      <c r="A2523" s="26"/>
      <c r="B2523" s="28">
        <v>5490</v>
      </c>
      <c r="C2523" s="28">
        <v>5490</v>
      </c>
      <c r="D2523" s="29" t="s">
        <v>8268</v>
      </c>
      <c r="E2523" s="29" t="s">
        <v>8269</v>
      </c>
      <c r="F2523" s="29" t="s">
        <v>8270</v>
      </c>
      <c r="G2523" s="29" t="s">
        <v>8271</v>
      </c>
      <c r="H2523" s="29" t="s">
        <v>40</v>
      </c>
      <c r="I2523" s="27">
        <v>2019</v>
      </c>
      <c r="J2523" s="29" t="s">
        <v>8272</v>
      </c>
      <c r="K2523" s="27">
        <v>9789955923114</v>
      </c>
      <c r="L2523" s="29" t="s">
        <v>8273</v>
      </c>
      <c r="M2523" s="27">
        <v>456</v>
      </c>
      <c r="N2523" s="30">
        <v>0.78</v>
      </c>
      <c r="O2523" s="27">
        <v>146</v>
      </c>
      <c r="P2523" s="27">
        <v>217</v>
      </c>
      <c r="Q2523" s="27">
        <v>1</v>
      </c>
      <c r="R2523" s="29" t="s">
        <v>43</v>
      </c>
      <c r="S2523" s="29" t="s">
        <v>8135</v>
      </c>
      <c r="T2523" s="28">
        <v>1000</v>
      </c>
      <c r="U2523" s="29" t="s">
        <v>52</v>
      </c>
      <c r="V2523" s="29" t="s">
        <v>64</v>
      </c>
      <c r="W2523" s="27">
        <v>20</v>
      </c>
      <c r="X2523" s="37" t="str">
        <f>HYPERLINK("https://www.alpinabook.ru/catalog/book-584393/","ссылка на книгу")</f>
        <v>ссылка на книгу</v>
      </c>
      <c r="Y2523" s="38" t="str">
        <f t="shared" si="485"/>
        <v/>
      </c>
      <c r="Z2523" s="29"/>
      <c r="AT2523" s="1">
        <f t="shared" si="480"/>
        <v>0</v>
      </c>
      <c r="AU2523" s="1">
        <f t="shared" si="481"/>
        <v>0</v>
      </c>
      <c r="AV2523" s="1">
        <f t="shared" si="482"/>
        <v>0</v>
      </c>
      <c r="AW2523" s="1">
        <f t="shared" si="483"/>
        <v>0</v>
      </c>
      <c r="AX2523" s="1">
        <f t="shared" si="484"/>
        <v>0</v>
      </c>
    </row>
    <row r="2524" spans="1:50" s="1" customFormat="1" ht="21.95" customHeight="1" outlineLevel="3" x14ac:dyDescent="0.2">
      <c r="A2524" s="26"/>
      <c r="B2524" s="28">
        <v>3990</v>
      </c>
      <c r="C2524" s="28">
        <v>3990</v>
      </c>
      <c r="D2524" s="29" t="s">
        <v>8274</v>
      </c>
      <c r="E2524" s="29" t="s">
        <v>8275</v>
      </c>
      <c r="F2524" s="29" t="s">
        <v>8276</v>
      </c>
      <c r="G2524" s="29" t="s">
        <v>56</v>
      </c>
      <c r="H2524" s="29" t="s">
        <v>40</v>
      </c>
      <c r="I2524" s="27">
        <v>2019</v>
      </c>
      <c r="J2524" s="29" t="s">
        <v>8277</v>
      </c>
      <c r="K2524" s="27">
        <v>9785961418729</v>
      </c>
      <c r="L2524" s="29" t="s">
        <v>8278</v>
      </c>
      <c r="M2524" s="27">
        <v>288</v>
      </c>
      <c r="N2524" s="30">
        <v>0.49</v>
      </c>
      <c r="O2524" s="27">
        <v>146</v>
      </c>
      <c r="P2524" s="27">
        <v>217</v>
      </c>
      <c r="Q2524" s="27">
        <v>1</v>
      </c>
      <c r="R2524" s="29" t="s">
        <v>43</v>
      </c>
      <c r="S2524" s="29" t="s">
        <v>8135</v>
      </c>
      <c r="T2524" s="28">
        <v>1000</v>
      </c>
      <c r="U2524" s="29" t="s">
        <v>52</v>
      </c>
      <c r="V2524" s="29" t="s">
        <v>59</v>
      </c>
      <c r="W2524" s="27">
        <v>20</v>
      </c>
      <c r="X2524" s="37" t="str">
        <f>HYPERLINK("https://www.alpinabook.ru/catalog/book-584396/","ссылка на книгу")</f>
        <v>ссылка на книгу</v>
      </c>
      <c r="Y2524" s="38" t="str">
        <f t="shared" si="485"/>
        <v/>
      </c>
      <c r="Z2524" s="29"/>
      <c r="AT2524" s="1">
        <f t="shared" si="480"/>
        <v>0</v>
      </c>
      <c r="AU2524" s="1">
        <f t="shared" si="481"/>
        <v>0</v>
      </c>
      <c r="AV2524" s="1">
        <f t="shared" si="482"/>
        <v>0</v>
      </c>
      <c r="AW2524" s="1">
        <f t="shared" si="483"/>
        <v>0</v>
      </c>
      <c r="AX2524" s="1">
        <f t="shared" si="484"/>
        <v>0</v>
      </c>
    </row>
    <row r="2525" spans="1:50" s="1" customFormat="1" ht="24.95" customHeight="1" outlineLevel="3" x14ac:dyDescent="0.2">
      <c r="A2525" s="11"/>
      <c r="B2525" s="15">
        <v>6990</v>
      </c>
      <c r="C2525" s="15">
        <v>6990</v>
      </c>
      <c r="D2525" s="13" t="s">
        <v>8279</v>
      </c>
      <c r="E2525" s="13" t="s">
        <v>8280</v>
      </c>
      <c r="F2525" s="13" t="s">
        <v>8281</v>
      </c>
      <c r="G2525" s="13" t="s">
        <v>56</v>
      </c>
      <c r="H2525" s="13" t="s">
        <v>40</v>
      </c>
      <c r="I2525" s="12">
        <v>2012</v>
      </c>
      <c r="J2525" s="13" t="s">
        <v>8282</v>
      </c>
      <c r="K2525" s="12">
        <v>9785961419085</v>
      </c>
      <c r="L2525" s="13" t="s">
        <v>8283</v>
      </c>
      <c r="M2525" s="12">
        <v>288</v>
      </c>
      <c r="N2525" s="14">
        <v>0.46</v>
      </c>
      <c r="O2525" s="12">
        <v>146</v>
      </c>
      <c r="P2525" s="12">
        <v>217</v>
      </c>
      <c r="Q2525" s="12">
        <v>1</v>
      </c>
      <c r="R2525" s="13" t="s">
        <v>43</v>
      </c>
      <c r="S2525" s="13" t="s">
        <v>8135</v>
      </c>
      <c r="T2525" s="15">
        <v>1050</v>
      </c>
      <c r="U2525" s="13" t="s">
        <v>52</v>
      </c>
      <c r="V2525" s="13" t="s">
        <v>64</v>
      </c>
      <c r="W2525" s="12">
        <v>20</v>
      </c>
      <c r="X2525" s="33" t="str">
        <f>HYPERLINK("https://alpinabook.ru/catalog/book-wiki-pravitelstvo-sberbank/","ссылка на книгу")</f>
        <v>ссылка на книгу</v>
      </c>
      <c r="Y2525" s="34" t="str">
        <f t="shared" si="485"/>
        <v/>
      </c>
      <c r="Z2525" s="13"/>
      <c r="AT2525" s="1">
        <f t="shared" ref="AT2525:AT2556" si="486">IF($A2525&lt;&gt;0,1,0)</f>
        <v>0</v>
      </c>
      <c r="AU2525" s="1">
        <f t="shared" ref="AU2525:AU2556" si="487">$A2525*$B2525</f>
        <v>0</v>
      </c>
      <c r="AV2525" s="1">
        <f t="shared" ref="AV2525:AV2556" si="488">$A2525*$N2525</f>
        <v>0</v>
      </c>
      <c r="AW2525" s="1">
        <f t="shared" ref="AW2525:AW2556" si="489">IF($Q2525=0,0,INT($A2525/$Q2525))</f>
        <v>0</v>
      </c>
      <c r="AX2525" s="1">
        <f t="shared" ref="AX2525:AX2556" si="490">$A2525-$AW2525*$Q2525</f>
        <v>0</v>
      </c>
    </row>
    <row r="2526" spans="1:50" s="1" customFormat="1" ht="21.95" customHeight="1" outlineLevel="3" x14ac:dyDescent="0.2">
      <c r="A2526" s="26"/>
      <c r="B2526" s="28">
        <v>4990</v>
      </c>
      <c r="C2526" s="28">
        <v>4990</v>
      </c>
      <c r="D2526" s="29" t="s">
        <v>8284</v>
      </c>
      <c r="E2526" s="29" t="s">
        <v>8285</v>
      </c>
      <c r="F2526" s="29" t="s">
        <v>8286</v>
      </c>
      <c r="G2526" s="29" t="s">
        <v>56</v>
      </c>
      <c r="H2526" s="29" t="s">
        <v>40</v>
      </c>
      <c r="I2526" s="27">
        <v>2021</v>
      </c>
      <c r="J2526" s="29" t="s">
        <v>8287</v>
      </c>
      <c r="K2526" s="27">
        <v>9785961419177</v>
      </c>
      <c r="L2526" s="29" t="s">
        <v>8288</v>
      </c>
      <c r="M2526" s="27">
        <v>480</v>
      </c>
      <c r="N2526" s="30">
        <v>0.82</v>
      </c>
      <c r="O2526" s="27">
        <v>146</v>
      </c>
      <c r="P2526" s="27">
        <v>217</v>
      </c>
      <c r="Q2526" s="27">
        <v>1</v>
      </c>
      <c r="R2526" s="29" t="s">
        <v>43</v>
      </c>
      <c r="S2526" s="29" t="s">
        <v>8135</v>
      </c>
      <c r="T2526" s="28">
        <v>1000</v>
      </c>
      <c r="U2526" s="29" t="s">
        <v>52</v>
      </c>
      <c r="V2526" s="29" t="s">
        <v>64</v>
      </c>
      <c r="W2526" s="27">
        <v>20</v>
      </c>
      <c r="X2526" s="37" t="str">
        <f>HYPERLINK("https://alpinabook.ru/catalog/book-peregovory-sberbank/","ссылка на книгу")</f>
        <v>ссылка на книгу</v>
      </c>
      <c r="Y2526" s="38" t="str">
        <f t="shared" ref="Y2526:Y2557" si="491">HYPERLINK("","")</f>
        <v/>
      </c>
      <c r="Z2526" s="29"/>
      <c r="AT2526" s="1">
        <f t="shared" si="486"/>
        <v>0</v>
      </c>
      <c r="AU2526" s="1">
        <f t="shared" si="487"/>
        <v>0</v>
      </c>
      <c r="AV2526" s="1">
        <f t="shared" si="488"/>
        <v>0</v>
      </c>
      <c r="AW2526" s="1">
        <f t="shared" si="489"/>
        <v>0</v>
      </c>
      <c r="AX2526" s="1">
        <f t="shared" si="490"/>
        <v>0</v>
      </c>
    </row>
    <row r="2527" spans="1:50" s="1" customFormat="1" ht="24.95" customHeight="1" outlineLevel="3" x14ac:dyDescent="0.2">
      <c r="A2527" s="26"/>
      <c r="B2527" s="28">
        <v>5990</v>
      </c>
      <c r="C2527" s="28">
        <v>5990</v>
      </c>
      <c r="D2527" s="29" t="s">
        <v>8289</v>
      </c>
      <c r="E2527" s="29" t="s">
        <v>8290</v>
      </c>
      <c r="F2527" s="29" t="s">
        <v>8291</v>
      </c>
      <c r="G2527" s="29" t="s">
        <v>56</v>
      </c>
      <c r="H2527" s="29" t="s">
        <v>40</v>
      </c>
      <c r="I2527" s="27">
        <v>2019</v>
      </c>
      <c r="J2527" s="29" t="s">
        <v>8292</v>
      </c>
      <c r="K2527" s="27">
        <v>9785961418866</v>
      </c>
      <c r="L2527" s="29" t="s">
        <v>8293</v>
      </c>
      <c r="M2527" s="27">
        <v>280</v>
      </c>
      <c r="N2527" s="30">
        <v>0.48</v>
      </c>
      <c r="O2527" s="27">
        <v>146</v>
      </c>
      <c r="P2527" s="27">
        <v>217</v>
      </c>
      <c r="Q2527" s="27">
        <v>1</v>
      </c>
      <c r="R2527" s="29" t="s">
        <v>43</v>
      </c>
      <c r="S2527" s="29" t="s">
        <v>8135</v>
      </c>
      <c r="T2527" s="28">
        <v>1000</v>
      </c>
      <c r="U2527" s="29" t="s">
        <v>52</v>
      </c>
      <c r="V2527" s="29" t="s">
        <v>64</v>
      </c>
      <c r="W2527" s="27">
        <v>20</v>
      </c>
      <c r="X2527" s="37" t="str">
        <f>HYPERLINK("https://www.alpinabook.ru/catalog/book-584426/","ссылка на книгу")</f>
        <v>ссылка на книгу</v>
      </c>
      <c r="Y2527" s="38" t="str">
        <f t="shared" si="491"/>
        <v/>
      </c>
      <c r="Z2527" s="29"/>
      <c r="AT2527" s="1">
        <f t="shared" si="486"/>
        <v>0</v>
      </c>
      <c r="AU2527" s="1">
        <f t="shared" si="487"/>
        <v>0</v>
      </c>
      <c r="AV2527" s="1">
        <f t="shared" si="488"/>
        <v>0</v>
      </c>
      <c r="AW2527" s="1">
        <f t="shared" si="489"/>
        <v>0</v>
      </c>
      <c r="AX2527" s="1">
        <f t="shared" si="490"/>
        <v>0</v>
      </c>
    </row>
    <row r="2528" spans="1:50" s="1" customFormat="1" ht="21.95" customHeight="1" outlineLevel="3" x14ac:dyDescent="0.2">
      <c r="A2528" s="26"/>
      <c r="B2528" s="28">
        <v>6490</v>
      </c>
      <c r="C2528" s="28">
        <v>6490</v>
      </c>
      <c r="D2528" s="29" t="s">
        <v>8294</v>
      </c>
      <c r="E2528" s="29" t="s">
        <v>8295</v>
      </c>
      <c r="F2528" s="29" t="s">
        <v>8296</v>
      </c>
      <c r="G2528" s="29" t="s">
        <v>8163</v>
      </c>
      <c r="H2528" s="29" t="s">
        <v>40</v>
      </c>
      <c r="I2528" s="27">
        <v>2019</v>
      </c>
      <c r="J2528" s="29" t="s">
        <v>8297</v>
      </c>
      <c r="K2528" s="27">
        <v>9785969304765</v>
      </c>
      <c r="L2528" s="29" t="s">
        <v>8298</v>
      </c>
      <c r="M2528" s="27">
        <v>780</v>
      </c>
      <c r="N2528" s="30">
        <v>1.32</v>
      </c>
      <c r="O2528" s="27">
        <v>146</v>
      </c>
      <c r="P2528" s="27">
        <v>217</v>
      </c>
      <c r="Q2528" s="27">
        <v>1</v>
      </c>
      <c r="R2528" s="29" t="s">
        <v>43</v>
      </c>
      <c r="S2528" s="29" t="s">
        <v>8135</v>
      </c>
      <c r="T2528" s="28">
        <v>4000</v>
      </c>
      <c r="U2528" s="29" t="s">
        <v>52</v>
      </c>
      <c r="V2528" s="29" t="s">
        <v>64</v>
      </c>
      <c r="W2528" s="27">
        <v>20</v>
      </c>
      <c r="X2528" s="37" t="str">
        <f>HYPERLINK("https://alpinabook.ru/catalog/book-tanets-peremen-sberbank/","ссылка на книгу")</f>
        <v>ссылка на книгу</v>
      </c>
      <c r="Y2528" s="38" t="str">
        <f t="shared" si="491"/>
        <v/>
      </c>
      <c r="Z2528" s="29"/>
      <c r="AT2528" s="1">
        <f t="shared" si="486"/>
        <v>0</v>
      </c>
      <c r="AU2528" s="1">
        <f t="shared" si="487"/>
        <v>0</v>
      </c>
      <c r="AV2528" s="1">
        <f t="shared" si="488"/>
        <v>0</v>
      </c>
      <c r="AW2528" s="1">
        <f t="shared" si="489"/>
        <v>0</v>
      </c>
      <c r="AX2528" s="1">
        <f t="shared" si="490"/>
        <v>0</v>
      </c>
    </row>
    <row r="2529" spans="1:50" s="1" customFormat="1" ht="21.95" customHeight="1" outlineLevel="3" x14ac:dyDescent="0.2">
      <c r="A2529" s="11"/>
      <c r="B2529" s="15">
        <v>5490</v>
      </c>
      <c r="C2529" s="15">
        <v>5490</v>
      </c>
      <c r="D2529" s="13" t="s">
        <v>8299</v>
      </c>
      <c r="E2529" s="13" t="s">
        <v>8300</v>
      </c>
      <c r="F2529" s="13" t="s">
        <v>8301</v>
      </c>
      <c r="G2529" s="13" t="s">
        <v>56</v>
      </c>
      <c r="H2529" s="13"/>
      <c r="I2529" s="12">
        <v>2019</v>
      </c>
      <c r="J2529" s="13" t="s">
        <v>8302</v>
      </c>
      <c r="K2529" s="12">
        <v>9785961422160</v>
      </c>
      <c r="L2529" s="13" t="s">
        <v>8303</v>
      </c>
      <c r="M2529" s="12">
        <v>286</v>
      </c>
      <c r="N2529" s="14">
        <v>0.49</v>
      </c>
      <c r="O2529" s="12">
        <v>146</v>
      </c>
      <c r="P2529" s="12">
        <v>217</v>
      </c>
      <c r="Q2529" s="12">
        <v>1</v>
      </c>
      <c r="R2529" s="13" t="s">
        <v>43</v>
      </c>
      <c r="S2529" s="13" t="s">
        <v>8135</v>
      </c>
      <c r="T2529" s="15">
        <v>1000</v>
      </c>
      <c r="U2529" s="13" t="s">
        <v>52</v>
      </c>
      <c r="V2529" s="13" t="s">
        <v>64</v>
      </c>
      <c r="W2529" s="12">
        <v>20</v>
      </c>
      <c r="X2529" s="33" t="str">
        <f>HYPERLINK("https://www.alpinabook.ru/catalog/book-584445/","ссылка на книгу")</f>
        <v>ссылка на книгу</v>
      </c>
      <c r="Y2529" s="34" t="str">
        <f t="shared" si="491"/>
        <v/>
      </c>
      <c r="Z2529" s="13"/>
      <c r="AT2529" s="1">
        <f t="shared" si="486"/>
        <v>0</v>
      </c>
      <c r="AU2529" s="1">
        <f t="shared" si="487"/>
        <v>0</v>
      </c>
      <c r="AV2529" s="1">
        <f t="shared" si="488"/>
        <v>0</v>
      </c>
      <c r="AW2529" s="1">
        <f t="shared" si="489"/>
        <v>0</v>
      </c>
      <c r="AX2529" s="1">
        <f t="shared" si="490"/>
        <v>0</v>
      </c>
    </row>
    <row r="2530" spans="1:50" s="1" customFormat="1" ht="21.95" customHeight="1" outlineLevel="3" x14ac:dyDescent="0.2">
      <c r="A2530" s="26"/>
      <c r="B2530" s="28">
        <v>3990</v>
      </c>
      <c r="C2530" s="28">
        <v>3990</v>
      </c>
      <c r="D2530" s="29" t="s">
        <v>8304</v>
      </c>
      <c r="E2530" s="29" t="s">
        <v>8305</v>
      </c>
      <c r="F2530" s="29" t="s">
        <v>8306</v>
      </c>
      <c r="G2530" s="29" t="s">
        <v>56</v>
      </c>
      <c r="H2530" s="29" t="s">
        <v>40</v>
      </c>
      <c r="I2530" s="27">
        <v>2019</v>
      </c>
      <c r="J2530" s="29" t="s">
        <v>8307</v>
      </c>
      <c r="K2530" s="27">
        <v>9785961422658</v>
      </c>
      <c r="L2530" s="29" t="s">
        <v>8308</v>
      </c>
      <c r="M2530" s="27">
        <v>544</v>
      </c>
      <c r="N2530" s="30">
        <v>0.9</v>
      </c>
      <c r="O2530" s="27">
        <v>146</v>
      </c>
      <c r="P2530" s="27">
        <v>217</v>
      </c>
      <c r="Q2530" s="27">
        <v>1</v>
      </c>
      <c r="R2530" s="29" t="s">
        <v>43</v>
      </c>
      <c r="S2530" s="29" t="s">
        <v>8135</v>
      </c>
      <c r="T2530" s="28">
        <v>1000</v>
      </c>
      <c r="U2530" s="29" t="s">
        <v>52</v>
      </c>
      <c r="V2530" s="29" t="s">
        <v>64</v>
      </c>
      <c r="W2530" s="27">
        <v>20</v>
      </c>
      <c r="X2530" s="37" t="str">
        <f>HYPERLINK("https://www.alpinabook.ru/catalog/book-584448/","ссылка на книгу")</f>
        <v>ссылка на книгу</v>
      </c>
      <c r="Y2530" s="38" t="str">
        <f t="shared" si="491"/>
        <v/>
      </c>
      <c r="Z2530" s="29"/>
      <c r="AT2530" s="1">
        <f t="shared" si="486"/>
        <v>0</v>
      </c>
      <c r="AU2530" s="1">
        <f t="shared" si="487"/>
        <v>0</v>
      </c>
      <c r="AV2530" s="1">
        <f t="shared" si="488"/>
        <v>0</v>
      </c>
      <c r="AW2530" s="1">
        <f t="shared" si="489"/>
        <v>0</v>
      </c>
      <c r="AX2530" s="1">
        <f t="shared" si="490"/>
        <v>0</v>
      </c>
    </row>
    <row r="2531" spans="1:50" s="1" customFormat="1" ht="21.95" customHeight="1" outlineLevel="3" x14ac:dyDescent="0.2">
      <c r="A2531" s="26"/>
      <c r="B2531" s="28">
        <v>5490</v>
      </c>
      <c r="C2531" s="28">
        <v>5490</v>
      </c>
      <c r="D2531" s="29" t="s">
        <v>8309</v>
      </c>
      <c r="E2531" s="29" t="s">
        <v>8269</v>
      </c>
      <c r="F2531" s="29" t="s">
        <v>8310</v>
      </c>
      <c r="G2531" s="29" t="s">
        <v>56</v>
      </c>
      <c r="H2531" s="29" t="s">
        <v>40</v>
      </c>
      <c r="I2531" s="27">
        <v>2018</v>
      </c>
      <c r="J2531" s="29" t="s">
        <v>8311</v>
      </c>
      <c r="K2531" s="31">
        <v>9785961473117</v>
      </c>
      <c r="L2531" s="29" t="s">
        <v>8312</v>
      </c>
      <c r="M2531" s="27">
        <v>271</v>
      </c>
      <c r="N2531" s="30">
        <v>0.46</v>
      </c>
      <c r="O2531" s="27">
        <v>146</v>
      </c>
      <c r="P2531" s="27">
        <v>217</v>
      </c>
      <c r="Q2531" s="27">
        <v>1</v>
      </c>
      <c r="R2531" s="29" t="s">
        <v>43</v>
      </c>
      <c r="S2531" s="29" t="s">
        <v>8135</v>
      </c>
      <c r="T2531" s="28">
        <v>1000</v>
      </c>
      <c r="U2531" s="29" t="s">
        <v>52</v>
      </c>
      <c r="V2531" s="29" t="s">
        <v>64</v>
      </c>
      <c r="W2531" s="27">
        <v>20</v>
      </c>
      <c r="X2531" s="37" t="str">
        <f>HYPERLINK("https://www.alpinabook.ru/catalog/book-584451/","ссылка на книгу")</f>
        <v>ссылка на книгу</v>
      </c>
      <c r="Y2531" s="38" t="str">
        <f t="shared" si="491"/>
        <v/>
      </c>
      <c r="Z2531" s="29"/>
      <c r="AT2531" s="1">
        <f t="shared" si="486"/>
        <v>0</v>
      </c>
      <c r="AU2531" s="1">
        <f t="shared" si="487"/>
        <v>0</v>
      </c>
      <c r="AV2531" s="1">
        <f t="shared" si="488"/>
        <v>0</v>
      </c>
      <c r="AW2531" s="1">
        <f t="shared" si="489"/>
        <v>0</v>
      </c>
      <c r="AX2531" s="1">
        <f t="shared" si="490"/>
        <v>0</v>
      </c>
    </row>
    <row r="2532" spans="1:50" s="1" customFormat="1" ht="24.95" customHeight="1" outlineLevel="3" x14ac:dyDescent="0.2">
      <c r="A2532" s="26"/>
      <c r="B2532" s="28">
        <v>4990</v>
      </c>
      <c r="C2532" s="28">
        <v>4990</v>
      </c>
      <c r="D2532" s="29" t="s">
        <v>8313</v>
      </c>
      <c r="E2532" s="29" t="s">
        <v>8314</v>
      </c>
      <c r="F2532" s="29" t="s">
        <v>8315</v>
      </c>
      <c r="G2532" s="29" t="s">
        <v>8194</v>
      </c>
      <c r="H2532" s="29" t="s">
        <v>40</v>
      </c>
      <c r="I2532" s="27">
        <v>2019</v>
      </c>
      <c r="J2532" s="29" t="s">
        <v>8316</v>
      </c>
      <c r="K2532" s="27">
        <v>9785001463399</v>
      </c>
      <c r="L2532" s="29" t="s">
        <v>8317</v>
      </c>
      <c r="M2532" s="27">
        <v>431</v>
      </c>
      <c r="N2532" s="30">
        <v>0.73</v>
      </c>
      <c r="O2532" s="27">
        <v>146</v>
      </c>
      <c r="P2532" s="27">
        <v>217</v>
      </c>
      <c r="Q2532" s="27">
        <v>1</v>
      </c>
      <c r="R2532" s="29" t="s">
        <v>43</v>
      </c>
      <c r="S2532" s="29" t="s">
        <v>8135</v>
      </c>
      <c r="T2532" s="28">
        <v>4000</v>
      </c>
      <c r="U2532" s="29" t="s">
        <v>8242</v>
      </c>
      <c r="V2532" s="29" t="s">
        <v>64</v>
      </c>
      <c r="W2532" s="27">
        <v>20</v>
      </c>
      <c r="X2532" s="37" t="str">
        <f>HYPERLINK("https://alpinabook.ru/catalog/book-novaya-tsel-sberbank/","ссылка на книгу")</f>
        <v>ссылка на книгу</v>
      </c>
      <c r="Y2532" s="38" t="str">
        <f t="shared" si="491"/>
        <v/>
      </c>
      <c r="Z2532" s="29"/>
      <c r="AT2532" s="1">
        <f t="shared" si="486"/>
        <v>0</v>
      </c>
      <c r="AU2532" s="1">
        <f t="shared" si="487"/>
        <v>0</v>
      </c>
      <c r="AV2532" s="1">
        <f t="shared" si="488"/>
        <v>0</v>
      </c>
      <c r="AW2532" s="1">
        <f t="shared" si="489"/>
        <v>0</v>
      </c>
      <c r="AX2532" s="1">
        <f t="shared" si="490"/>
        <v>0</v>
      </c>
    </row>
    <row r="2533" spans="1:50" s="1" customFormat="1" ht="21.95" customHeight="1" outlineLevel="3" x14ac:dyDescent="0.2">
      <c r="A2533" s="26"/>
      <c r="B2533" s="28">
        <v>4490</v>
      </c>
      <c r="C2533" s="28">
        <v>4490</v>
      </c>
      <c r="D2533" s="29" t="s">
        <v>8318</v>
      </c>
      <c r="E2533" s="29" t="s">
        <v>8319</v>
      </c>
      <c r="F2533" s="29" t="s">
        <v>8320</v>
      </c>
      <c r="G2533" s="29" t="s">
        <v>8194</v>
      </c>
      <c r="H2533" s="29" t="s">
        <v>40</v>
      </c>
      <c r="I2533" s="27">
        <v>2019</v>
      </c>
      <c r="J2533" s="29" t="s">
        <v>8321</v>
      </c>
      <c r="K2533" s="27">
        <v>9785001461111</v>
      </c>
      <c r="L2533" s="29" t="s">
        <v>8322</v>
      </c>
      <c r="M2533" s="27">
        <v>240</v>
      </c>
      <c r="N2533" s="30">
        <v>0.41</v>
      </c>
      <c r="O2533" s="27">
        <v>146</v>
      </c>
      <c r="P2533" s="27">
        <v>217</v>
      </c>
      <c r="Q2533" s="27">
        <v>1</v>
      </c>
      <c r="R2533" s="29" t="s">
        <v>43</v>
      </c>
      <c r="S2533" s="29" t="s">
        <v>8135</v>
      </c>
      <c r="T2533" s="28">
        <v>1000</v>
      </c>
      <c r="U2533" s="29" t="s">
        <v>8242</v>
      </c>
      <c r="V2533" s="29" t="s">
        <v>64</v>
      </c>
      <c r="W2533" s="27">
        <v>20</v>
      </c>
      <c r="X2533" s="37" t="str">
        <f>HYPERLINK("https://www.alpinabook.ru/catalog/book-584711/","ссылка на книгу")</f>
        <v>ссылка на книгу</v>
      </c>
      <c r="Y2533" s="38" t="str">
        <f t="shared" si="491"/>
        <v/>
      </c>
      <c r="Z2533" s="29"/>
      <c r="AT2533" s="1">
        <f t="shared" si="486"/>
        <v>0</v>
      </c>
      <c r="AU2533" s="1">
        <f t="shared" si="487"/>
        <v>0</v>
      </c>
      <c r="AV2533" s="1">
        <f t="shared" si="488"/>
        <v>0</v>
      </c>
      <c r="AW2533" s="1">
        <f t="shared" si="489"/>
        <v>0</v>
      </c>
      <c r="AX2533" s="1">
        <f t="shared" si="490"/>
        <v>0</v>
      </c>
    </row>
    <row r="2534" spans="1:50" s="1" customFormat="1" ht="24.95" customHeight="1" outlineLevel="3" x14ac:dyDescent="0.2">
      <c r="A2534" s="26"/>
      <c r="B2534" s="28">
        <v>5990</v>
      </c>
      <c r="C2534" s="28">
        <v>5990</v>
      </c>
      <c r="D2534" s="29" t="s">
        <v>8323</v>
      </c>
      <c r="E2534" s="29" t="s">
        <v>8324</v>
      </c>
      <c r="F2534" s="29" t="s">
        <v>8325</v>
      </c>
      <c r="G2534" s="29" t="s">
        <v>56</v>
      </c>
      <c r="H2534" s="29" t="s">
        <v>40</v>
      </c>
      <c r="I2534" s="27">
        <v>2015</v>
      </c>
      <c r="J2534" s="29" t="s">
        <v>8326</v>
      </c>
      <c r="K2534" s="27">
        <v>9785961453157</v>
      </c>
      <c r="L2534" s="29" t="s">
        <v>8327</v>
      </c>
      <c r="M2534" s="27">
        <v>642</v>
      </c>
      <c r="N2534" s="30">
        <v>1.1000000000000001</v>
      </c>
      <c r="O2534" s="27">
        <v>146</v>
      </c>
      <c r="P2534" s="27">
        <v>217</v>
      </c>
      <c r="Q2534" s="27">
        <v>1</v>
      </c>
      <c r="R2534" s="29" t="s">
        <v>43</v>
      </c>
      <c r="S2534" s="29" t="s">
        <v>8135</v>
      </c>
      <c r="T2534" s="28">
        <v>2000</v>
      </c>
      <c r="U2534" s="29" t="s">
        <v>52</v>
      </c>
      <c r="V2534" s="29" t="s">
        <v>64</v>
      </c>
      <c r="W2534" s="27">
        <v>20</v>
      </c>
      <c r="X2534" s="37" t="str">
        <f>HYPERLINK("https://www.alpinabook.ru/catalog/book-584713/","ссылка на книгу")</f>
        <v>ссылка на книгу</v>
      </c>
      <c r="Y2534" s="38" t="str">
        <f t="shared" si="491"/>
        <v/>
      </c>
      <c r="Z2534" s="29"/>
      <c r="AT2534" s="1">
        <f t="shared" si="486"/>
        <v>0</v>
      </c>
      <c r="AU2534" s="1">
        <f t="shared" si="487"/>
        <v>0</v>
      </c>
      <c r="AV2534" s="1">
        <f t="shared" si="488"/>
        <v>0</v>
      </c>
      <c r="AW2534" s="1">
        <f t="shared" si="489"/>
        <v>0</v>
      </c>
      <c r="AX2534" s="1">
        <f t="shared" si="490"/>
        <v>0</v>
      </c>
    </row>
    <row r="2535" spans="1:50" s="1" customFormat="1" ht="21.95" customHeight="1" outlineLevel="3" x14ac:dyDescent="0.2">
      <c r="A2535" s="26"/>
      <c r="B2535" s="28">
        <v>5990</v>
      </c>
      <c r="C2535" s="28">
        <v>5990</v>
      </c>
      <c r="D2535" s="29" t="s">
        <v>8328</v>
      </c>
      <c r="E2535" s="29" t="s">
        <v>8329</v>
      </c>
      <c r="F2535" s="29" t="s">
        <v>8330</v>
      </c>
      <c r="G2535" s="29" t="s">
        <v>56</v>
      </c>
      <c r="H2535" s="29" t="s">
        <v>40</v>
      </c>
      <c r="I2535" s="27">
        <v>2013</v>
      </c>
      <c r="J2535" s="29" t="s">
        <v>8331</v>
      </c>
      <c r="K2535" s="27">
        <v>9785961443905</v>
      </c>
      <c r="L2535" s="29" t="s">
        <v>8332</v>
      </c>
      <c r="M2535" s="27">
        <v>384</v>
      </c>
      <c r="N2535" s="30">
        <v>0.6</v>
      </c>
      <c r="O2535" s="27">
        <v>146</v>
      </c>
      <c r="P2535" s="27">
        <v>217</v>
      </c>
      <c r="Q2535" s="27">
        <v>1</v>
      </c>
      <c r="R2535" s="29" t="s">
        <v>43</v>
      </c>
      <c r="S2535" s="29" t="s">
        <v>8135</v>
      </c>
      <c r="T2535" s="28">
        <v>6500</v>
      </c>
      <c r="U2535" s="29" t="s">
        <v>52</v>
      </c>
      <c r="V2535" s="29" t="s">
        <v>64</v>
      </c>
      <c r="W2535" s="27">
        <v>20</v>
      </c>
      <c r="X2535" s="37" t="str">
        <f>HYPERLINK("https://www.alpinabook.ru/catalog/book-584720/","ссылка на книгу")</f>
        <v>ссылка на книгу</v>
      </c>
      <c r="Y2535" s="38" t="str">
        <f t="shared" si="491"/>
        <v/>
      </c>
      <c r="Z2535" s="29"/>
      <c r="AT2535" s="1">
        <f t="shared" si="486"/>
        <v>0</v>
      </c>
      <c r="AU2535" s="1">
        <f t="shared" si="487"/>
        <v>0</v>
      </c>
      <c r="AV2535" s="1">
        <f t="shared" si="488"/>
        <v>0</v>
      </c>
      <c r="AW2535" s="1">
        <f t="shared" si="489"/>
        <v>0</v>
      </c>
      <c r="AX2535" s="1">
        <f t="shared" si="490"/>
        <v>0</v>
      </c>
    </row>
    <row r="2536" spans="1:50" s="1" customFormat="1" ht="24.95" customHeight="1" outlineLevel="3" x14ac:dyDescent="0.2">
      <c r="A2536" s="26"/>
      <c r="B2536" s="28">
        <v>5990</v>
      </c>
      <c r="C2536" s="28">
        <v>5990</v>
      </c>
      <c r="D2536" s="29" t="s">
        <v>8333</v>
      </c>
      <c r="E2536" s="29" t="s">
        <v>8334</v>
      </c>
      <c r="F2536" s="29" t="s">
        <v>8335</v>
      </c>
      <c r="G2536" s="29" t="s">
        <v>56</v>
      </c>
      <c r="H2536" s="29" t="s">
        <v>40</v>
      </c>
      <c r="I2536" s="27">
        <v>2019</v>
      </c>
      <c r="J2536" s="29" t="s">
        <v>8336</v>
      </c>
      <c r="K2536" s="27">
        <v>9785961472950</v>
      </c>
      <c r="L2536" s="29" t="s">
        <v>8337</v>
      </c>
      <c r="M2536" s="27">
        <v>424</v>
      </c>
      <c r="N2536" s="30">
        <v>0.6</v>
      </c>
      <c r="O2536" s="27">
        <v>146</v>
      </c>
      <c r="P2536" s="27">
        <v>217</v>
      </c>
      <c r="Q2536" s="27">
        <v>1</v>
      </c>
      <c r="R2536" s="29" t="s">
        <v>43</v>
      </c>
      <c r="S2536" s="29" t="s">
        <v>8135</v>
      </c>
      <c r="T2536" s="28">
        <v>1000</v>
      </c>
      <c r="U2536" s="29" t="s">
        <v>52</v>
      </c>
      <c r="V2536" s="29" t="s">
        <v>64</v>
      </c>
      <c r="W2536" s="27">
        <v>20</v>
      </c>
      <c r="X2536" s="37" t="str">
        <f>HYPERLINK("https://www.alpinabook.ru/catalog/book-584722/","ссылка на книгу")</f>
        <v>ссылка на книгу</v>
      </c>
      <c r="Y2536" s="38" t="str">
        <f t="shared" si="491"/>
        <v/>
      </c>
      <c r="Z2536" s="29"/>
      <c r="AT2536" s="1">
        <f t="shared" si="486"/>
        <v>0</v>
      </c>
      <c r="AU2536" s="1">
        <f t="shared" si="487"/>
        <v>0</v>
      </c>
      <c r="AV2536" s="1">
        <f t="shared" si="488"/>
        <v>0</v>
      </c>
      <c r="AW2536" s="1">
        <f t="shared" si="489"/>
        <v>0</v>
      </c>
      <c r="AX2536" s="1">
        <f t="shared" si="490"/>
        <v>0</v>
      </c>
    </row>
    <row r="2537" spans="1:50" s="1" customFormat="1" ht="21.95" customHeight="1" outlineLevel="3" x14ac:dyDescent="0.2">
      <c r="A2537" s="26"/>
      <c r="B2537" s="28">
        <v>5990</v>
      </c>
      <c r="C2537" s="28">
        <v>5990</v>
      </c>
      <c r="D2537" s="29" t="s">
        <v>8338</v>
      </c>
      <c r="E2537" s="29" t="s">
        <v>8339</v>
      </c>
      <c r="F2537" s="29" t="s">
        <v>8340</v>
      </c>
      <c r="G2537" s="29" t="s">
        <v>8163</v>
      </c>
      <c r="H2537" s="29" t="s">
        <v>40</v>
      </c>
      <c r="I2537" s="27">
        <v>2018</v>
      </c>
      <c r="J2537" s="29" t="s">
        <v>8341</v>
      </c>
      <c r="K2537" s="27">
        <v>9785969302587</v>
      </c>
      <c r="L2537" s="29" t="s">
        <v>8342</v>
      </c>
      <c r="M2537" s="27">
        <v>256</v>
      </c>
      <c r="N2537" s="30">
        <v>0.44</v>
      </c>
      <c r="O2537" s="27">
        <v>146</v>
      </c>
      <c r="P2537" s="27">
        <v>217</v>
      </c>
      <c r="Q2537" s="27">
        <v>1</v>
      </c>
      <c r="R2537" s="29" t="s">
        <v>43</v>
      </c>
      <c r="S2537" s="29" t="s">
        <v>8135</v>
      </c>
      <c r="T2537" s="28">
        <v>1000</v>
      </c>
      <c r="U2537" s="29" t="s">
        <v>52</v>
      </c>
      <c r="V2537" s="29" t="s">
        <v>64</v>
      </c>
      <c r="W2537" s="27">
        <v>20</v>
      </c>
      <c r="X2537" s="37" t="str">
        <f>HYPERLINK("https://www.alpinabook.ru/catalog/book-584725/","ссылка на книгу")</f>
        <v>ссылка на книгу</v>
      </c>
      <c r="Y2537" s="38" t="str">
        <f t="shared" si="491"/>
        <v/>
      </c>
      <c r="Z2537" s="29"/>
      <c r="AT2537" s="1">
        <f t="shared" si="486"/>
        <v>0</v>
      </c>
      <c r="AU2537" s="1">
        <f t="shared" si="487"/>
        <v>0</v>
      </c>
      <c r="AV2537" s="1">
        <f t="shared" si="488"/>
        <v>0</v>
      </c>
      <c r="AW2537" s="1">
        <f t="shared" si="489"/>
        <v>0</v>
      </c>
      <c r="AX2537" s="1">
        <f t="shared" si="490"/>
        <v>0</v>
      </c>
    </row>
    <row r="2538" spans="1:50" s="1" customFormat="1" ht="21.95" customHeight="1" outlineLevel="3" x14ac:dyDescent="0.2">
      <c r="A2538" s="26"/>
      <c r="B2538" s="28">
        <v>3990</v>
      </c>
      <c r="C2538" s="28">
        <v>3990</v>
      </c>
      <c r="D2538" s="29" t="s">
        <v>8343</v>
      </c>
      <c r="E2538" s="29" t="s">
        <v>8344</v>
      </c>
      <c r="F2538" s="29" t="s">
        <v>8345</v>
      </c>
      <c r="G2538" s="29" t="s">
        <v>8346</v>
      </c>
      <c r="H2538" s="29" t="s">
        <v>40</v>
      </c>
      <c r="I2538" s="27">
        <v>2018</v>
      </c>
      <c r="J2538" s="29" t="s">
        <v>8347</v>
      </c>
      <c r="K2538" s="27">
        <v>9785170832002</v>
      </c>
      <c r="L2538" s="29" t="s">
        <v>8348</v>
      </c>
      <c r="M2538" s="27">
        <v>208</v>
      </c>
      <c r="N2538" s="30">
        <v>0.35</v>
      </c>
      <c r="O2538" s="27">
        <v>146</v>
      </c>
      <c r="P2538" s="27">
        <v>217</v>
      </c>
      <c r="Q2538" s="27">
        <v>1</v>
      </c>
      <c r="R2538" s="29" t="s">
        <v>43</v>
      </c>
      <c r="S2538" s="29" t="s">
        <v>8135</v>
      </c>
      <c r="T2538" s="28">
        <v>1000</v>
      </c>
      <c r="U2538" s="29" t="s">
        <v>52</v>
      </c>
      <c r="V2538" s="29" t="s">
        <v>64</v>
      </c>
      <c r="W2538" s="27">
        <v>20</v>
      </c>
      <c r="X2538" s="37" t="str">
        <f>HYPERLINK("https://www.alpinabook.ru/catalog/book-584732/","ссылка на книгу")</f>
        <v>ссылка на книгу</v>
      </c>
      <c r="Y2538" s="38" t="str">
        <f t="shared" si="491"/>
        <v/>
      </c>
      <c r="Z2538" s="29"/>
      <c r="AT2538" s="1">
        <f t="shared" si="486"/>
        <v>0</v>
      </c>
      <c r="AU2538" s="1">
        <f t="shared" si="487"/>
        <v>0</v>
      </c>
      <c r="AV2538" s="1">
        <f t="shared" si="488"/>
        <v>0</v>
      </c>
      <c r="AW2538" s="1">
        <f t="shared" si="489"/>
        <v>0</v>
      </c>
      <c r="AX2538" s="1">
        <f t="shared" si="490"/>
        <v>0</v>
      </c>
    </row>
    <row r="2539" spans="1:50" s="1" customFormat="1" ht="24.95" customHeight="1" outlineLevel="3" x14ac:dyDescent="0.2">
      <c r="A2539" s="26"/>
      <c r="B2539" s="28">
        <v>3490</v>
      </c>
      <c r="C2539" s="28">
        <v>3490</v>
      </c>
      <c r="D2539" s="29" t="s">
        <v>8349</v>
      </c>
      <c r="E2539" s="29" t="s">
        <v>8350</v>
      </c>
      <c r="F2539" s="29" t="s">
        <v>8351</v>
      </c>
      <c r="G2539" s="29" t="s">
        <v>56</v>
      </c>
      <c r="H2539" s="29" t="s">
        <v>40</v>
      </c>
      <c r="I2539" s="27">
        <v>2013</v>
      </c>
      <c r="J2539" s="29" t="s">
        <v>8352</v>
      </c>
      <c r="K2539" s="27">
        <v>9785961446203</v>
      </c>
      <c r="L2539" s="29" t="s">
        <v>8353</v>
      </c>
      <c r="M2539" s="27">
        <v>289</v>
      </c>
      <c r="N2539" s="30">
        <v>0.49</v>
      </c>
      <c r="O2539" s="27">
        <v>146</v>
      </c>
      <c r="P2539" s="27">
        <v>217</v>
      </c>
      <c r="Q2539" s="27">
        <v>1</v>
      </c>
      <c r="R2539" s="29" t="s">
        <v>43</v>
      </c>
      <c r="S2539" s="29" t="s">
        <v>8135</v>
      </c>
      <c r="T2539" s="28">
        <v>6500</v>
      </c>
      <c r="U2539" s="29" t="s">
        <v>52</v>
      </c>
      <c r="V2539" s="29" t="s">
        <v>64</v>
      </c>
      <c r="W2539" s="27">
        <v>20</v>
      </c>
      <c r="X2539" s="37" t="str">
        <f>HYPERLINK("https://www.alpinabook.ru/catalog/book-584736/","ссылка на книгу")</f>
        <v>ссылка на книгу</v>
      </c>
      <c r="Y2539" s="38" t="str">
        <f t="shared" si="491"/>
        <v/>
      </c>
      <c r="Z2539" s="29"/>
      <c r="AT2539" s="1">
        <f t="shared" si="486"/>
        <v>0</v>
      </c>
      <c r="AU2539" s="1">
        <f t="shared" si="487"/>
        <v>0</v>
      </c>
      <c r="AV2539" s="1">
        <f t="shared" si="488"/>
        <v>0</v>
      </c>
      <c r="AW2539" s="1">
        <f t="shared" si="489"/>
        <v>0</v>
      </c>
      <c r="AX2539" s="1">
        <f t="shared" si="490"/>
        <v>0</v>
      </c>
    </row>
    <row r="2540" spans="1:50" s="1" customFormat="1" ht="24.95" customHeight="1" outlineLevel="3" x14ac:dyDescent="0.2">
      <c r="A2540" s="26"/>
      <c r="B2540" s="28">
        <v>4990</v>
      </c>
      <c r="C2540" s="28">
        <v>4990</v>
      </c>
      <c r="D2540" s="29" t="s">
        <v>8354</v>
      </c>
      <c r="E2540" s="29" t="s">
        <v>8355</v>
      </c>
      <c r="F2540" s="29" t="s">
        <v>8356</v>
      </c>
      <c r="G2540" s="29" t="s">
        <v>56</v>
      </c>
      <c r="H2540" s="29" t="s">
        <v>40</v>
      </c>
      <c r="I2540" s="27">
        <v>2019</v>
      </c>
      <c r="J2540" s="29" t="s">
        <v>8357</v>
      </c>
      <c r="K2540" s="27">
        <v>9785961446265</v>
      </c>
      <c r="L2540" s="29" t="s">
        <v>8358</v>
      </c>
      <c r="M2540" s="27">
        <v>288</v>
      </c>
      <c r="N2540" s="30">
        <v>0.49</v>
      </c>
      <c r="O2540" s="27">
        <v>146</v>
      </c>
      <c r="P2540" s="27">
        <v>217</v>
      </c>
      <c r="Q2540" s="27">
        <v>1</v>
      </c>
      <c r="R2540" s="29" t="s">
        <v>43</v>
      </c>
      <c r="S2540" s="29" t="s">
        <v>8135</v>
      </c>
      <c r="T2540" s="28">
        <v>1002</v>
      </c>
      <c r="U2540" s="29" t="s">
        <v>8242</v>
      </c>
      <c r="V2540" s="29" t="s">
        <v>64</v>
      </c>
      <c r="W2540" s="27">
        <v>20</v>
      </c>
      <c r="X2540" s="37" t="str">
        <f>HYPERLINK("https://www.alpinabook.ru/catalog/book-584749/","ссылка на книгу")</f>
        <v>ссылка на книгу</v>
      </c>
      <c r="Y2540" s="38" t="str">
        <f t="shared" si="491"/>
        <v/>
      </c>
      <c r="Z2540" s="29"/>
      <c r="AT2540" s="1">
        <f t="shared" si="486"/>
        <v>0</v>
      </c>
      <c r="AU2540" s="1">
        <f t="shared" si="487"/>
        <v>0</v>
      </c>
      <c r="AV2540" s="1">
        <f t="shared" si="488"/>
        <v>0</v>
      </c>
      <c r="AW2540" s="1">
        <f t="shared" si="489"/>
        <v>0</v>
      </c>
      <c r="AX2540" s="1">
        <f t="shared" si="490"/>
        <v>0</v>
      </c>
    </row>
    <row r="2541" spans="1:50" s="1" customFormat="1" ht="24.95" customHeight="1" outlineLevel="3" x14ac:dyDescent="0.2">
      <c r="A2541" s="26"/>
      <c r="B2541" s="28">
        <v>3490</v>
      </c>
      <c r="C2541" s="28">
        <v>3490</v>
      </c>
      <c r="D2541" s="29" t="s">
        <v>8359</v>
      </c>
      <c r="E2541" s="29" t="s">
        <v>8360</v>
      </c>
      <c r="F2541" s="29" t="s">
        <v>8361</v>
      </c>
      <c r="G2541" s="29" t="s">
        <v>56</v>
      </c>
      <c r="H2541" s="29" t="s">
        <v>40</v>
      </c>
      <c r="I2541" s="27">
        <v>2014</v>
      </c>
      <c r="J2541" s="29" t="s">
        <v>8362</v>
      </c>
      <c r="K2541" s="31">
        <v>9785961473100</v>
      </c>
      <c r="L2541" s="29" t="s">
        <v>8363</v>
      </c>
      <c r="M2541" s="27">
        <v>409</v>
      </c>
      <c r="N2541" s="30">
        <v>0.69</v>
      </c>
      <c r="O2541" s="27">
        <v>28</v>
      </c>
      <c r="P2541" s="27">
        <v>217</v>
      </c>
      <c r="Q2541" s="27">
        <v>1</v>
      </c>
      <c r="R2541" s="29" t="s">
        <v>43</v>
      </c>
      <c r="S2541" s="29" t="s">
        <v>8135</v>
      </c>
      <c r="T2541" s="28">
        <v>6500</v>
      </c>
      <c r="U2541" s="29" t="s">
        <v>52</v>
      </c>
      <c r="V2541" s="29" t="s">
        <v>64</v>
      </c>
      <c r="W2541" s="27">
        <v>20</v>
      </c>
      <c r="X2541" s="37" t="str">
        <f>HYPERLINK("https://www.alpinabook.ru/catalog/book-584753/","ссылка на книгу")</f>
        <v>ссылка на книгу</v>
      </c>
      <c r="Y2541" s="38" t="str">
        <f t="shared" si="491"/>
        <v/>
      </c>
      <c r="Z2541" s="29"/>
      <c r="AT2541" s="1">
        <f t="shared" si="486"/>
        <v>0</v>
      </c>
      <c r="AU2541" s="1">
        <f t="shared" si="487"/>
        <v>0</v>
      </c>
      <c r="AV2541" s="1">
        <f t="shared" si="488"/>
        <v>0</v>
      </c>
      <c r="AW2541" s="1">
        <f t="shared" si="489"/>
        <v>0</v>
      </c>
      <c r="AX2541" s="1">
        <f t="shared" si="490"/>
        <v>0</v>
      </c>
    </row>
    <row r="2542" spans="1:50" s="1" customFormat="1" ht="21.95" customHeight="1" outlineLevel="3" x14ac:dyDescent="0.2">
      <c r="A2542" s="26"/>
      <c r="B2542" s="28">
        <v>3990</v>
      </c>
      <c r="C2542" s="28">
        <v>3990</v>
      </c>
      <c r="D2542" s="29" t="s">
        <v>8364</v>
      </c>
      <c r="E2542" s="29" t="s">
        <v>8365</v>
      </c>
      <c r="F2542" s="29" t="s">
        <v>8366</v>
      </c>
      <c r="G2542" s="29" t="s">
        <v>8194</v>
      </c>
      <c r="H2542" s="29" t="s">
        <v>40</v>
      </c>
      <c r="I2542" s="27">
        <v>2018</v>
      </c>
      <c r="J2542" s="29" t="s">
        <v>8367</v>
      </c>
      <c r="K2542" s="27">
        <v>9785001178767</v>
      </c>
      <c r="L2542" s="29" t="s">
        <v>8368</v>
      </c>
      <c r="M2542" s="27">
        <v>190</v>
      </c>
      <c r="N2542" s="30">
        <v>0.32</v>
      </c>
      <c r="O2542" s="27">
        <v>146</v>
      </c>
      <c r="P2542" s="27">
        <v>217</v>
      </c>
      <c r="Q2542" s="27">
        <v>1</v>
      </c>
      <c r="R2542" s="29" t="s">
        <v>43</v>
      </c>
      <c r="S2542" s="29" t="s">
        <v>8135</v>
      </c>
      <c r="T2542" s="28">
        <v>1021</v>
      </c>
      <c r="U2542" s="29" t="s">
        <v>52</v>
      </c>
      <c r="V2542" s="29" t="s">
        <v>64</v>
      </c>
      <c r="W2542" s="27">
        <v>20</v>
      </c>
      <c r="X2542" s="37" t="str">
        <f>HYPERLINK("https://www.alpinabook.ru/catalog/book-584755/","ссылка на книгу")</f>
        <v>ссылка на книгу</v>
      </c>
      <c r="Y2542" s="38" t="str">
        <f t="shared" si="491"/>
        <v/>
      </c>
      <c r="Z2542" s="29"/>
      <c r="AT2542" s="1">
        <f t="shared" si="486"/>
        <v>0</v>
      </c>
      <c r="AU2542" s="1">
        <f t="shared" si="487"/>
        <v>0</v>
      </c>
      <c r="AV2542" s="1">
        <f t="shared" si="488"/>
        <v>0</v>
      </c>
      <c r="AW2542" s="1">
        <f t="shared" si="489"/>
        <v>0</v>
      </c>
      <c r="AX2542" s="1">
        <f t="shared" si="490"/>
        <v>0</v>
      </c>
    </row>
    <row r="2543" spans="1:50" s="1" customFormat="1" ht="21.95" customHeight="1" outlineLevel="3" x14ac:dyDescent="0.2">
      <c r="A2543" s="26"/>
      <c r="B2543" s="28">
        <v>4490</v>
      </c>
      <c r="C2543" s="28">
        <v>4490</v>
      </c>
      <c r="D2543" s="29" t="s">
        <v>8369</v>
      </c>
      <c r="E2543" s="29" t="s">
        <v>8370</v>
      </c>
      <c r="F2543" s="29" t="s">
        <v>8371</v>
      </c>
      <c r="G2543" s="29" t="s">
        <v>8194</v>
      </c>
      <c r="H2543" s="29" t="s">
        <v>40</v>
      </c>
      <c r="I2543" s="27">
        <v>2019</v>
      </c>
      <c r="J2543" s="29" t="s">
        <v>8372</v>
      </c>
      <c r="K2543" s="27">
        <v>9785001463344</v>
      </c>
      <c r="L2543" s="29" t="s">
        <v>8373</v>
      </c>
      <c r="M2543" s="27">
        <v>160</v>
      </c>
      <c r="N2543" s="30">
        <v>0.27</v>
      </c>
      <c r="O2543" s="27">
        <v>146</v>
      </c>
      <c r="P2543" s="27">
        <v>217</v>
      </c>
      <c r="Q2543" s="27">
        <v>1</v>
      </c>
      <c r="R2543" s="29" t="s">
        <v>43</v>
      </c>
      <c r="S2543" s="29" t="s">
        <v>8135</v>
      </c>
      <c r="T2543" s="28">
        <v>1021</v>
      </c>
      <c r="U2543" s="29" t="s">
        <v>8242</v>
      </c>
      <c r="V2543" s="29" t="s">
        <v>64</v>
      </c>
      <c r="W2543" s="27">
        <v>20</v>
      </c>
      <c r="X2543" s="37" t="str">
        <f>HYPERLINK("https://www.alpinabook.ru/catalog/book-584763/","ссылка на книгу")</f>
        <v>ссылка на книгу</v>
      </c>
      <c r="Y2543" s="38" t="str">
        <f t="shared" si="491"/>
        <v/>
      </c>
      <c r="Z2543" s="29"/>
      <c r="AT2543" s="1">
        <f t="shared" si="486"/>
        <v>0</v>
      </c>
      <c r="AU2543" s="1">
        <f t="shared" si="487"/>
        <v>0</v>
      </c>
      <c r="AV2543" s="1">
        <f t="shared" si="488"/>
        <v>0</v>
      </c>
      <c r="AW2543" s="1">
        <f t="shared" si="489"/>
        <v>0</v>
      </c>
      <c r="AX2543" s="1">
        <f t="shared" si="490"/>
        <v>0</v>
      </c>
    </row>
    <row r="2544" spans="1:50" s="1" customFormat="1" ht="21.95" customHeight="1" outlineLevel="3" x14ac:dyDescent="0.2">
      <c r="A2544" s="26"/>
      <c r="B2544" s="28">
        <v>4490</v>
      </c>
      <c r="C2544" s="28">
        <v>4490</v>
      </c>
      <c r="D2544" s="29" t="s">
        <v>8374</v>
      </c>
      <c r="E2544" s="29" t="s">
        <v>8375</v>
      </c>
      <c r="F2544" s="29" t="s">
        <v>8376</v>
      </c>
      <c r="G2544" s="29" t="s">
        <v>8194</v>
      </c>
      <c r="H2544" s="29" t="s">
        <v>40</v>
      </c>
      <c r="I2544" s="27">
        <v>2019</v>
      </c>
      <c r="J2544" s="29" t="s">
        <v>8377</v>
      </c>
      <c r="K2544" s="27">
        <v>9785001463320</v>
      </c>
      <c r="L2544" s="29" t="s">
        <v>8378</v>
      </c>
      <c r="M2544" s="27">
        <v>272</v>
      </c>
      <c r="N2544" s="30">
        <v>0.46</v>
      </c>
      <c r="O2544" s="27">
        <v>146</v>
      </c>
      <c r="P2544" s="27">
        <v>217</v>
      </c>
      <c r="Q2544" s="27">
        <v>1</v>
      </c>
      <c r="R2544" s="29" t="s">
        <v>43</v>
      </c>
      <c r="S2544" s="29" t="s">
        <v>8135</v>
      </c>
      <c r="T2544" s="28">
        <v>1021</v>
      </c>
      <c r="U2544" s="29" t="s">
        <v>8242</v>
      </c>
      <c r="V2544" s="29" t="s">
        <v>64</v>
      </c>
      <c r="W2544" s="27">
        <v>20</v>
      </c>
      <c r="X2544" s="37" t="str">
        <f>HYPERLINK("https://www.alpinabook.ru/catalog/book-584808/","ссылка на книгу")</f>
        <v>ссылка на книгу</v>
      </c>
      <c r="Y2544" s="38" t="str">
        <f t="shared" si="491"/>
        <v/>
      </c>
      <c r="Z2544" s="29"/>
      <c r="AT2544" s="1">
        <f t="shared" si="486"/>
        <v>0</v>
      </c>
      <c r="AU2544" s="1">
        <f t="shared" si="487"/>
        <v>0</v>
      </c>
      <c r="AV2544" s="1">
        <f t="shared" si="488"/>
        <v>0</v>
      </c>
      <c r="AW2544" s="1">
        <f t="shared" si="489"/>
        <v>0</v>
      </c>
      <c r="AX2544" s="1">
        <f t="shared" si="490"/>
        <v>0</v>
      </c>
    </row>
    <row r="2545" spans="1:50" s="1" customFormat="1" ht="24.95" customHeight="1" outlineLevel="3" x14ac:dyDescent="0.2">
      <c r="A2545" s="26"/>
      <c r="B2545" s="28">
        <v>5490</v>
      </c>
      <c r="C2545" s="28">
        <v>5490</v>
      </c>
      <c r="D2545" s="29" t="s">
        <v>8379</v>
      </c>
      <c r="E2545" s="29" t="s">
        <v>8380</v>
      </c>
      <c r="F2545" s="29" t="s">
        <v>8381</v>
      </c>
      <c r="G2545" s="29" t="s">
        <v>56</v>
      </c>
      <c r="H2545" s="29" t="s">
        <v>40</v>
      </c>
      <c r="I2545" s="27">
        <v>2014</v>
      </c>
      <c r="J2545" s="29" t="s">
        <v>8382</v>
      </c>
      <c r="K2545" s="27">
        <v>9785961449907</v>
      </c>
      <c r="L2545" s="29" t="s">
        <v>8383</v>
      </c>
      <c r="M2545" s="27">
        <v>540</v>
      </c>
      <c r="N2545" s="30">
        <v>0.91</v>
      </c>
      <c r="O2545" s="27">
        <v>146</v>
      </c>
      <c r="P2545" s="27">
        <v>217</v>
      </c>
      <c r="Q2545" s="27">
        <v>1</v>
      </c>
      <c r="R2545" s="29" t="s">
        <v>43</v>
      </c>
      <c r="S2545" s="29" t="s">
        <v>8135</v>
      </c>
      <c r="T2545" s="28">
        <v>6500</v>
      </c>
      <c r="U2545" s="29" t="s">
        <v>52</v>
      </c>
      <c r="V2545" s="29" t="s">
        <v>64</v>
      </c>
      <c r="W2545" s="27">
        <v>20</v>
      </c>
      <c r="X2545" s="37" t="str">
        <f>HYPERLINK("https://www.alpinabook.ru/catalog/book-584827/","ссылка на книгу")</f>
        <v>ссылка на книгу</v>
      </c>
      <c r="Y2545" s="38" t="str">
        <f t="shared" si="491"/>
        <v/>
      </c>
      <c r="Z2545" s="29"/>
      <c r="AT2545" s="1">
        <f t="shared" si="486"/>
        <v>0</v>
      </c>
      <c r="AU2545" s="1">
        <f t="shared" si="487"/>
        <v>0</v>
      </c>
      <c r="AV2545" s="1">
        <f t="shared" si="488"/>
        <v>0</v>
      </c>
      <c r="AW2545" s="1">
        <f t="shared" si="489"/>
        <v>0</v>
      </c>
      <c r="AX2545" s="1">
        <f t="shared" si="490"/>
        <v>0</v>
      </c>
    </row>
    <row r="2546" spans="1:50" s="1" customFormat="1" ht="21.95" customHeight="1" outlineLevel="3" x14ac:dyDescent="0.2">
      <c r="A2546" s="26"/>
      <c r="B2546" s="28">
        <v>4490</v>
      </c>
      <c r="C2546" s="28">
        <v>4490</v>
      </c>
      <c r="D2546" s="29" t="s">
        <v>8384</v>
      </c>
      <c r="E2546" s="29" t="s">
        <v>8275</v>
      </c>
      <c r="F2546" s="29" t="s">
        <v>8385</v>
      </c>
      <c r="G2546" s="29" t="s">
        <v>8163</v>
      </c>
      <c r="H2546" s="29" t="s">
        <v>40</v>
      </c>
      <c r="I2546" s="27">
        <v>2014</v>
      </c>
      <c r="J2546" s="29" t="s">
        <v>8386</v>
      </c>
      <c r="K2546" s="27">
        <v>9785969302945</v>
      </c>
      <c r="L2546" s="29" t="s">
        <v>8387</v>
      </c>
      <c r="M2546" s="27">
        <v>474</v>
      </c>
      <c r="N2546" s="30">
        <v>0.81</v>
      </c>
      <c r="O2546" s="27">
        <v>141</v>
      </c>
      <c r="P2546" s="27">
        <v>217</v>
      </c>
      <c r="Q2546" s="27">
        <v>1</v>
      </c>
      <c r="R2546" s="29" t="s">
        <v>43</v>
      </c>
      <c r="S2546" s="29" t="s">
        <v>8135</v>
      </c>
      <c r="T2546" s="28">
        <v>6500</v>
      </c>
      <c r="U2546" s="29" t="s">
        <v>52</v>
      </c>
      <c r="V2546" s="29" t="s">
        <v>64</v>
      </c>
      <c r="W2546" s="27">
        <v>20</v>
      </c>
      <c r="X2546" s="37" t="str">
        <f>HYPERLINK("https://alpinabook.ru/catalog/book-bank-3-0-sberbank/","ссылка на книгу")</f>
        <v>ссылка на книгу</v>
      </c>
      <c r="Y2546" s="38" t="str">
        <f t="shared" si="491"/>
        <v/>
      </c>
      <c r="Z2546" s="29"/>
      <c r="AT2546" s="1">
        <f t="shared" si="486"/>
        <v>0</v>
      </c>
      <c r="AU2546" s="1">
        <f t="shared" si="487"/>
        <v>0</v>
      </c>
      <c r="AV2546" s="1">
        <f t="shared" si="488"/>
        <v>0</v>
      </c>
      <c r="AW2546" s="1">
        <f t="shared" si="489"/>
        <v>0</v>
      </c>
      <c r="AX2546" s="1">
        <f t="shared" si="490"/>
        <v>0</v>
      </c>
    </row>
    <row r="2547" spans="1:50" s="1" customFormat="1" ht="21.95" customHeight="1" outlineLevel="3" x14ac:dyDescent="0.2">
      <c r="A2547" s="26"/>
      <c r="B2547" s="28">
        <v>3990</v>
      </c>
      <c r="C2547" s="28">
        <v>3990</v>
      </c>
      <c r="D2547" s="29" t="s">
        <v>8388</v>
      </c>
      <c r="E2547" s="29" t="s">
        <v>8389</v>
      </c>
      <c r="F2547" s="29" t="s">
        <v>8390</v>
      </c>
      <c r="G2547" s="29" t="s">
        <v>8163</v>
      </c>
      <c r="H2547" s="29" t="s">
        <v>40</v>
      </c>
      <c r="I2547" s="27">
        <v>2019</v>
      </c>
      <c r="J2547" s="29" t="s">
        <v>8391</v>
      </c>
      <c r="K2547" s="27">
        <v>9785969302952</v>
      </c>
      <c r="L2547" s="29" t="s">
        <v>8392</v>
      </c>
      <c r="M2547" s="27">
        <v>192</v>
      </c>
      <c r="N2547" s="30">
        <v>0.33</v>
      </c>
      <c r="O2547" s="27">
        <v>146</v>
      </c>
      <c r="P2547" s="27">
        <v>217</v>
      </c>
      <c r="Q2547" s="27">
        <v>1</v>
      </c>
      <c r="R2547" s="29" t="s">
        <v>43</v>
      </c>
      <c r="S2547" s="29" t="s">
        <v>8135</v>
      </c>
      <c r="T2547" s="28">
        <v>1000</v>
      </c>
      <c r="U2547" s="29" t="s">
        <v>52</v>
      </c>
      <c r="V2547" s="29" t="s">
        <v>64</v>
      </c>
      <c r="W2547" s="27">
        <v>20</v>
      </c>
      <c r="X2547" s="37" t="str">
        <f>HYPERLINK("https://www.alpinabook.ru/catalog/book-584843/","ссылка на книгу")</f>
        <v>ссылка на книгу</v>
      </c>
      <c r="Y2547" s="38" t="str">
        <f t="shared" si="491"/>
        <v/>
      </c>
      <c r="Z2547" s="29"/>
      <c r="AT2547" s="1">
        <f t="shared" si="486"/>
        <v>0</v>
      </c>
      <c r="AU2547" s="1">
        <f t="shared" si="487"/>
        <v>0</v>
      </c>
      <c r="AV2547" s="1">
        <f t="shared" si="488"/>
        <v>0</v>
      </c>
      <c r="AW2547" s="1">
        <f t="shared" si="489"/>
        <v>0</v>
      </c>
      <c r="AX2547" s="1">
        <f t="shared" si="490"/>
        <v>0</v>
      </c>
    </row>
    <row r="2548" spans="1:50" s="1" customFormat="1" ht="24.95" customHeight="1" outlineLevel="3" x14ac:dyDescent="0.2">
      <c r="A2548" s="26"/>
      <c r="B2548" s="28">
        <v>5990</v>
      </c>
      <c r="C2548" s="28">
        <v>5990</v>
      </c>
      <c r="D2548" s="29" t="s">
        <v>8393</v>
      </c>
      <c r="E2548" s="29" t="s">
        <v>8394</v>
      </c>
      <c r="F2548" s="29" t="s">
        <v>8395</v>
      </c>
      <c r="G2548" s="29" t="s">
        <v>8346</v>
      </c>
      <c r="H2548" s="29" t="s">
        <v>40</v>
      </c>
      <c r="I2548" s="27">
        <v>2015</v>
      </c>
      <c r="J2548" s="29" t="s">
        <v>8396</v>
      </c>
      <c r="K2548" s="27">
        <v>9785170931958</v>
      </c>
      <c r="L2548" s="29" t="s">
        <v>8397</v>
      </c>
      <c r="M2548" s="27">
        <v>575</v>
      </c>
      <c r="N2548" s="30">
        <v>0.98</v>
      </c>
      <c r="O2548" s="27">
        <v>146</v>
      </c>
      <c r="P2548" s="27">
        <v>217</v>
      </c>
      <c r="Q2548" s="27">
        <v>1</v>
      </c>
      <c r="R2548" s="29" t="s">
        <v>43</v>
      </c>
      <c r="S2548" s="29" t="s">
        <v>8135</v>
      </c>
      <c r="T2548" s="28">
        <v>6500</v>
      </c>
      <c r="U2548" s="29" t="s">
        <v>52</v>
      </c>
      <c r="V2548" s="29" t="s">
        <v>64</v>
      </c>
      <c r="W2548" s="27">
        <v>20</v>
      </c>
      <c r="X2548" s="37" t="str">
        <f>HYPERLINK("https://www.alpinabook.ru/catalog/book-584849/","ссылка на книгу")</f>
        <v>ссылка на книгу</v>
      </c>
      <c r="Y2548" s="38" t="str">
        <f t="shared" si="491"/>
        <v/>
      </c>
      <c r="Z2548" s="29"/>
      <c r="AT2548" s="1">
        <f t="shared" si="486"/>
        <v>0</v>
      </c>
      <c r="AU2548" s="1">
        <f t="shared" si="487"/>
        <v>0</v>
      </c>
      <c r="AV2548" s="1">
        <f t="shared" si="488"/>
        <v>0</v>
      </c>
      <c r="AW2548" s="1">
        <f t="shared" si="489"/>
        <v>0</v>
      </c>
      <c r="AX2548" s="1">
        <f t="shared" si="490"/>
        <v>0</v>
      </c>
    </row>
    <row r="2549" spans="1:50" s="1" customFormat="1" ht="21.95" customHeight="1" outlineLevel="3" x14ac:dyDescent="0.2">
      <c r="A2549" s="26"/>
      <c r="B2549" s="28">
        <v>5990</v>
      </c>
      <c r="C2549" s="28">
        <v>5990</v>
      </c>
      <c r="D2549" s="29" t="s">
        <v>8398</v>
      </c>
      <c r="E2549" s="29" t="s">
        <v>8399</v>
      </c>
      <c r="F2549" s="29" t="s">
        <v>8400</v>
      </c>
      <c r="G2549" s="29" t="s">
        <v>8401</v>
      </c>
      <c r="H2549" s="29" t="s">
        <v>40</v>
      </c>
      <c r="I2549" s="27">
        <v>2015</v>
      </c>
      <c r="J2549" s="29" t="s">
        <v>8402</v>
      </c>
      <c r="K2549" s="31">
        <v>9785001394815</v>
      </c>
      <c r="L2549" s="29" t="s">
        <v>8403</v>
      </c>
      <c r="M2549" s="27">
        <v>457</v>
      </c>
      <c r="N2549" s="30">
        <v>0.77</v>
      </c>
      <c r="O2549" s="27">
        <v>165</v>
      </c>
      <c r="P2549" s="27">
        <v>217</v>
      </c>
      <c r="Q2549" s="27">
        <v>1</v>
      </c>
      <c r="R2549" s="29" t="s">
        <v>43</v>
      </c>
      <c r="S2549" s="29" t="s">
        <v>8135</v>
      </c>
      <c r="T2549" s="28">
        <v>6500</v>
      </c>
      <c r="U2549" s="29" t="s">
        <v>52</v>
      </c>
      <c r="V2549" s="29" t="s">
        <v>64</v>
      </c>
      <c r="W2549" s="27">
        <v>20</v>
      </c>
      <c r="X2549" s="37" t="str">
        <f>HYPERLINK("https://www.alpinabook.ru/catalog/book-584853/","ссылка на книгу")</f>
        <v>ссылка на книгу</v>
      </c>
      <c r="Y2549" s="38" t="str">
        <f t="shared" si="491"/>
        <v/>
      </c>
      <c r="Z2549" s="29"/>
      <c r="AT2549" s="1">
        <f t="shared" si="486"/>
        <v>0</v>
      </c>
      <c r="AU2549" s="1">
        <f t="shared" si="487"/>
        <v>0</v>
      </c>
      <c r="AV2549" s="1">
        <f t="shared" si="488"/>
        <v>0</v>
      </c>
      <c r="AW2549" s="1">
        <f t="shared" si="489"/>
        <v>0</v>
      </c>
      <c r="AX2549" s="1">
        <f t="shared" si="490"/>
        <v>0</v>
      </c>
    </row>
    <row r="2550" spans="1:50" s="1" customFormat="1" ht="24.95" customHeight="1" outlineLevel="3" x14ac:dyDescent="0.2">
      <c r="A2550" s="26"/>
      <c r="B2550" s="28">
        <v>4490</v>
      </c>
      <c r="C2550" s="28">
        <v>4490</v>
      </c>
      <c r="D2550" s="29" t="s">
        <v>8404</v>
      </c>
      <c r="E2550" s="29" t="s">
        <v>8405</v>
      </c>
      <c r="F2550" s="29" t="s">
        <v>8406</v>
      </c>
      <c r="G2550" s="29" t="s">
        <v>8232</v>
      </c>
      <c r="H2550" s="29" t="s">
        <v>40</v>
      </c>
      <c r="I2550" s="27">
        <v>2015</v>
      </c>
      <c r="J2550" s="29" t="s">
        <v>8407</v>
      </c>
      <c r="K2550" s="27">
        <v>9785699810369</v>
      </c>
      <c r="L2550" s="29" t="s">
        <v>8408</v>
      </c>
      <c r="M2550" s="27">
        <v>320</v>
      </c>
      <c r="N2550" s="30">
        <v>0.54</v>
      </c>
      <c r="O2550" s="27">
        <v>146</v>
      </c>
      <c r="P2550" s="27">
        <v>217</v>
      </c>
      <c r="Q2550" s="27">
        <v>1</v>
      </c>
      <c r="R2550" s="29" t="s">
        <v>43</v>
      </c>
      <c r="S2550" s="29" t="s">
        <v>8135</v>
      </c>
      <c r="T2550" s="28">
        <v>6500</v>
      </c>
      <c r="U2550" s="29" t="s">
        <v>52</v>
      </c>
      <c r="V2550" s="29" t="s">
        <v>64</v>
      </c>
      <c r="W2550" s="27">
        <v>20</v>
      </c>
      <c r="X2550" s="37" t="str">
        <f>HYPERLINK("https://alpinabook.ru/catalog/book-kak-rabotaet-google-sberbank/","ссылка на книгу")</f>
        <v>ссылка на книгу</v>
      </c>
      <c r="Y2550" s="38" t="str">
        <f t="shared" si="491"/>
        <v/>
      </c>
      <c r="Z2550" s="29"/>
      <c r="AT2550" s="1">
        <f t="shared" si="486"/>
        <v>0</v>
      </c>
      <c r="AU2550" s="1">
        <f t="shared" si="487"/>
        <v>0</v>
      </c>
      <c r="AV2550" s="1">
        <f t="shared" si="488"/>
        <v>0</v>
      </c>
      <c r="AW2550" s="1">
        <f t="shared" si="489"/>
        <v>0</v>
      </c>
      <c r="AX2550" s="1">
        <f t="shared" si="490"/>
        <v>0</v>
      </c>
    </row>
    <row r="2551" spans="1:50" s="1" customFormat="1" ht="24.95" customHeight="1" outlineLevel="3" x14ac:dyDescent="0.2">
      <c r="A2551" s="11"/>
      <c r="B2551" s="15">
        <v>4490</v>
      </c>
      <c r="C2551" s="15">
        <v>4490</v>
      </c>
      <c r="D2551" s="13" t="s">
        <v>8409</v>
      </c>
      <c r="E2551" s="13" t="s">
        <v>8410</v>
      </c>
      <c r="F2551" s="13" t="s">
        <v>8411</v>
      </c>
      <c r="G2551" s="13" t="s">
        <v>8194</v>
      </c>
      <c r="H2551" s="13" t="s">
        <v>40</v>
      </c>
      <c r="I2551" s="12">
        <v>2019</v>
      </c>
      <c r="J2551" s="13" t="s">
        <v>8412</v>
      </c>
      <c r="K2551" s="12">
        <v>9785001463375</v>
      </c>
      <c r="L2551" s="13" t="s">
        <v>8413</v>
      </c>
      <c r="M2551" s="12">
        <v>272</v>
      </c>
      <c r="N2551" s="14">
        <v>0.46</v>
      </c>
      <c r="O2551" s="12">
        <v>146</v>
      </c>
      <c r="P2551" s="12">
        <v>217</v>
      </c>
      <c r="Q2551" s="12">
        <v>1</v>
      </c>
      <c r="R2551" s="13" t="s">
        <v>43</v>
      </c>
      <c r="S2551" s="13" t="s">
        <v>8135</v>
      </c>
      <c r="T2551" s="15">
        <v>1021</v>
      </c>
      <c r="U2551" s="13" t="s">
        <v>8242</v>
      </c>
      <c r="V2551" s="13" t="s">
        <v>64</v>
      </c>
      <c r="W2551" s="12">
        <v>20</v>
      </c>
      <c r="X2551" s="33" t="str">
        <f>HYPERLINK("https://www.alpinabook.ru/catalog/book-585069/","ссылка на книгу")</f>
        <v>ссылка на книгу</v>
      </c>
      <c r="Y2551" s="34" t="str">
        <f t="shared" si="491"/>
        <v/>
      </c>
      <c r="Z2551" s="13"/>
      <c r="AT2551" s="1">
        <f t="shared" si="486"/>
        <v>0</v>
      </c>
      <c r="AU2551" s="1">
        <f t="shared" si="487"/>
        <v>0</v>
      </c>
      <c r="AV2551" s="1">
        <f t="shared" si="488"/>
        <v>0</v>
      </c>
      <c r="AW2551" s="1">
        <f t="shared" si="489"/>
        <v>0</v>
      </c>
      <c r="AX2551" s="1">
        <f t="shared" si="490"/>
        <v>0</v>
      </c>
    </row>
    <row r="2552" spans="1:50" s="1" customFormat="1" ht="24.95" customHeight="1" outlineLevel="3" x14ac:dyDescent="0.2">
      <c r="A2552" s="26"/>
      <c r="B2552" s="28">
        <v>4490</v>
      </c>
      <c r="C2552" s="28">
        <v>4490</v>
      </c>
      <c r="D2552" s="29" t="s">
        <v>8414</v>
      </c>
      <c r="E2552" s="29" t="s">
        <v>8415</v>
      </c>
      <c r="F2552" s="29" t="s">
        <v>8416</v>
      </c>
      <c r="G2552" s="29" t="s">
        <v>8163</v>
      </c>
      <c r="H2552" s="29" t="s">
        <v>40</v>
      </c>
      <c r="I2552" s="27">
        <v>2019</v>
      </c>
      <c r="J2552" s="29" t="s">
        <v>8417</v>
      </c>
      <c r="K2552" s="27">
        <v>9785969303331</v>
      </c>
      <c r="L2552" s="29" t="s">
        <v>8418</v>
      </c>
      <c r="M2552" s="27">
        <v>384</v>
      </c>
      <c r="N2552" s="30">
        <v>0.65</v>
      </c>
      <c r="O2552" s="27">
        <v>146</v>
      </c>
      <c r="P2552" s="27">
        <v>217</v>
      </c>
      <c r="Q2552" s="27">
        <v>1</v>
      </c>
      <c r="R2552" s="29" t="s">
        <v>43</v>
      </c>
      <c r="S2552" s="29" t="s">
        <v>8135</v>
      </c>
      <c r="T2552" s="28">
        <v>6500</v>
      </c>
      <c r="U2552" s="29" t="s">
        <v>52</v>
      </c>
      <c r="V2552" s="29" t="s">
        <v>64</v>
      </c>
      <c r="W2552" s="27">
        <v>20</v>
      </c>
      <c r="X2552" s="37" t="str">
        <f>HYPERLINK("https://www.alpinabook.ru/catalog/book-585073/","ссылка на книгу")</f>
        <v>ссылка на книгу</v>
      </c>
      <c r="Y2552" s="38" t="str">
        <f t="shared" si="491"/>
        <v/>
      </c>
      <c r="Z2552" s="29"/>
      <c r="AT2552" s="1">
        <f t="shared" si="486"/>
        <v>0</v>
      </c>
      <c r="AU2552" s="1">
        <f t="shared" si="487"/>
        <v>0</v>
      </c>
      <c r="AV2552" s="1">
        <f t="shared" si="488"/>
        <v>0</v>
      </c>
      <c r="AW2552" s="1">
        <f t="shared" si="489"/>
        <v>0</v>
      </c>
      <c r="AX2552" s="1">
        <f t="shared" si="490"/>
        <v>0</v>
      </c>
    </row>
    <row r="2553" spans="1:50" s="1" customFormat="1" ht="21.95" customHeight="1" outlineLevel="3" x14ac:dyDescent="0.2">
      <c r="A2553" s="26"/>
      <c r="B2553" s="28">
        <v>5490</v>
      </c>
      <c r="C2553" s="28">
        <v>5490</v>
      </c>
      <c r="D2553" s="29" t="s">
        <v>8419</v>
      </c>
      <c r="E2553" s="29" t="s">
        <v>8420</v>
      </c>
      <c r="F2553" s="29" t="s">
        <v>8421</v>
      </c>
      <c r="G2553" s="29" t="s">
        <v>56</v>
      </c>
      <c r="H2553" s="29" t="s">
        <v>40</v>
      </c>
      <c r="I2553" s="27">
        <v>2019</v>
      </c>
      <c r="J2553" s="29" t="s">
        <v>8422</v>
      </c>
      <c r="K2553" s="27">
        <v>9785961453645</v>
      </c>
      <c r="L2553" s="29" t="s">
        <v>8423</v>
      </c>
      <c r="M2553" s="27">
        <v>344</v>
      </c>
      <c r="N2553" s="30">
        <v>0.57999999999999996</v>
      </c>
      <c r="O2553" s="27">
        <v>146</v>
      </c>
      <c r="P2553" s="27">
        <v>217</v>
      </c>
      <c r="Q2553" s="27">
        <v>1</v>
      </c>
      <c r="R2553" s="29" t="s">
        <v>43</v>
      </c>
      <c r="S2553" s="29" t="s">
        <v>8135</v>
      </c>
      <c r="T2553" s="28">
        <v>6500</v>
      </c>
      <c r="U2553" s="29" t="s">
        <v>52</v>
      </c>
      <c r="V2553" s="29" t="s">
        <v>45</v>
      </c>
      <c r="W2553" s="27">
        <v>20</v>
      </c>
      <c r="X2553" s="37" t="str">
        <f>HYPERLINK("https://www.alpinabook.ru/catalog/book-585076/","ссылка на книгу")</f>
        <v>ссылка на книгу</v>
      </c>
      <c r="Y2553" s="38" t="str">
        <f t="shared" si="491"/>
        <v/>
      </c>
      <c r="Z2553" s="29"/>
      <c r="AT2553" s="1">
        <f t="shared" si="486"/>
        <v>0</v>
      </c>
      <c r="AU2553" s="1">
        <f t="shared" si="487"/>
        <v>0</v>
      </c>
      <c r="AV2553" s="1">
        <f t="shared" si="488"/>
        <v>0</v>
      </c>
      <c r="AW2553" s="1">
        <f t="shared" si="489"/>
        <v>0</v>
      </c>
      <c r="AX2553" s="1">
        <f t="shared" si="490"/>
        <v>0</v>
      </c>
    </row>
    <row r="2554" spans="1:50" s="1" customFormat="1" ht="24.95" customHeight="1" outlineLevel="3" x14ac:dyDescent="0.2">
      <c r="A2554" s="26"/>
      <c r="B2554" s="28">
        <v>5990</v>
      </c>
      <c r="C2554" s="28">
        <v>5990</v>
      </c>
      <c r="D2554" s="29" t="s">
        <v>8424</v>
      </c>
      <c r="E2554" s="29" t="s">
        <v>8425</v>
      </c>
      <c r="F2554" s="29" t="s">
        <v>8426</v>
      </c>
      <c r="G2554" s="29" t="s">
        <v>8163</v>
      </c>
      <c r="H2554" s="29" t="s">
        <v>8179</v>
      </c>
      <c r="I2554" s="27">
        <v>2020</v>
      </c>
      <c r="J2554" s="29" t="s">
        <v>8427</v>
      </c>
      <c r="K2554" s="27">
        <v>9785969303391</v>
      </c>
      <c r="L2554" s="29" t="s">
        <v>8428</v>
      </c>
      <c r="M2554" s="27">
        <v>288</v>
      </c>
      <c r="N2554" s="30">
        <v>0.49</v>
      </c>
      <c r="O2554" s="27">
        <v>146</v>
      </c>
      <c r="P2554" s="27">
        <v>217</v>
      </c>
      <c r="Q2554" s="27">
        <v>1</v>
      </c>
      <c r="R2554" s="29" t="s">
        <v>43</v>
      </c>
      <c r="S2554" s="29" t="s">
        <v>8135</v>
      </c>
      <c r="T2554" s="28">
        <v>1000</v>
      </c>
      <c r="U2554" s="29" t="s">
        <v>52</v>
      </c>
      <c r="V2554" s="29" t="s">
        <v>45</v>
      </c>
      <c r="W2554" s="27">
        <v>20</v>
      </c>
      <c r="X2554" s="37" t="str">
        <f>HYPERLINK("https://www.alpinabook.ru/catalog/book-585079/","ссылка на книгу")</f>
        <v>ссылка на книгу</v>
      </c>
      <c r="Y2554" s="38" t="str">
        <f t="shared" si="491"/>
        <v/>
      </c>
      <c r="Z2554" s="29"/>
      <c r="AT2554" s="1">
        <f t="shared" si="486"/>
        <v>0</v>
      </c>
      <c r="AU2554" s="1">
        <f t="shared" si="487"/>
        <v>0</v>
      </c>
      <c r="AV2554" s="1">
        <f t="shared" si="488"/>
        <v>0</v>
      </c>
      <c r="AW2554" s="1">
        <f t="shared" si="489"/>
        <v>0</v>
      </c>
      <c r="AX2554" s="1">
        <f t="shared" si="490"/>
        <v>0</v>
      </c>
    </row>
    <row r="2555" spans="1:50" s="1" customFormat="1" ht="21.95" customHeight="1" outlineLevel="3" x14ac:dyDescent="0.2">
      <c r="A2555" s="26"/>
      <c r="B2555" s="28">
        <v>4990</v>
      </c>
      <c r="C2555" s="28">
        <v>4990</v>
      </c>
      <c r="D2555" s="29" t="s">
        <v>8429</v>
      </c>
      <c r="E2555" s="29" t="s">
        <v>8430</v>
      </c>
      <c r="F2555" s="29" t="s">
        <v>8431</v>
      </c>
      <c r="G2555" s="29" t="s">
        <v>8232</v>
      </c>
      <c r="H2555" s="29" t="s">
        <v>40</v>
      </c>
      <c r="I2555" s="27">
        <v>2016</v>
      </c>
      <c r="J2555" s="29" t="s">
        <v>8432</v>
      </c>
      <c r="K2555" s="27">
        <v>9785699858071</v>
      </c>
      <c r="L2555" s="29" t="s">
        <v>8433</v>
      </c>
      <c r="M2555" s="27">
        <v>400</v>
      </c>
      <c r="N2555" s="30">
        <v>0.68</v>
      </c>
      <c r="O2555" s="27">
        <v>146</v>
      </c>
      <c r="P2555" s="27">
        <v>217</v>
      </c>
      <c r="Q2555" s="27">
        <v>1</v>
      </c>
      <c r="R2555" s="29" t="s">
        <v>43</v>
      </c>
      <c r="S2555" s="29" t="s">
        <v>8135</v>
      </c>
      <c r="T2555" s="28">
        <v>1000</v>
      </c>
      <c r="U2555" s="29" t="s">
        <v>52</v>
      </c>
      <c r="V2555" s="29" t="s">
        <v>64</v>
      </c>
      <c r="W2555" s="27">
        <v>20</v>
      </c>
      <c r="X2555" s="37" t="str">
        <f>HYPERLINK("https://www.alpinabook.ru/catalog/book-585082/","ссылка на книгу")</f>
        <v>ссылка на книгу</v>
      </c>
      <c r="Y2555" s="38" t="str">
        <f t="shared" si="491"/>
        <v/>
      </c>
      <c r="Z2555" s="29"/>
      <c r="AT2555" s="1">
        <f t="shared" si="486"/>
        <v>0</v>
      </c>
      <c r="AU2555" s="1">
        <f t="shared" si="487"/>
        <v>0</v>
      </c>
      <c r="AV2555" s="1">
        <f t="shared" si="488"/>
        <v>0</v>
      </c>
      <c r="AW2555" s="1">
        <f t="shared" si="489"/>
        <v>0</v>
      </c>
      <c r="AX2555" s="1">
        <f t="shared" si="490"/>
        <v>0</v>
      </c>
    </row>
    <row r="2556" spans="1:50" s="1" customFormat="1" ht="21.95" customHeight="1" outlineLevel="3" x14ac:dyDescent="0.2">
      <c r="A2556" s="26"/>
      <c r="B2556" s="28">
        <v>5990</v>
      </c>
      <c r="C2556" s="28">
        <v>5990</v>
      </c>
      <c r="D2556" s="29" t="s">
        <v>8434</v>
      </c>
      <c r="E2556" s="29" t="s">
        <v>8435</v>
      </c>
      <c r="F2556" s="29" t="s">
        <v>8436</v>
      </c>
      <c r="G2556" s="29" t="s">
        <v>8163</v>
      </c>
      <c r="H2556" s="29" t="s">
        <v>40</v>
      </c>
      <c r="I2556" s="27">
        <v>2015</v>
      </c>
      <c r="J2556" s="29" t="s">
        <v>8437</v>
      </c>
      <c r="K2556" s="27">
        <v>9785969303362</v>
      </c>
      <c r="L2556" s="29" t="s">
        <v>8438</v>
      </c>
      <c r="M2556" s="27">
        <v>192</v>
      </c>
      <c r="N2556" s="30">
        <v>0.33</v>
      </c>
      <c r="O2556" s="27">
        <v>146</v>
      </c>
      <c r="P2556" s="27">
        <v>217</v>
      </c>
      <c r="Q2556" s="27">
        <v>1</v>
      </c>
      <c r="R2556" s="29" t="s">
        <v>43</v>
      </c>
      <c r="S2556" s="29" t="s">
        <v>8135</v>
      </c>
      <c r="T2556" s="28">
        <v>3000</v>
      </c>
      <c r="U2556" s="29" t="s">
        <v>52</v>
      </c>
      <c r="V2556" s="29" t="s">
        <v>64</v>
      </c>
      <c r="W2556" s="27">
        <v>20</v>
      </c>
      <c r="X2556" s="37" t="str">
        <f>HYPERLINK("https://www.alpinabook.ru/catalog/book-585086/","ссылка на книгу")</f>
        <v>ссылка на книгу</v>
      </c>
      <c r="Y2556" s="38" t="str">
        <f t="shared" si="491"/>
        <v/>
      </c>
      <c r="Z2556" s="29"/>
      <c r="AT2556" s="1">
        <f t="shared" si="486"/>
        <v>0</v>
      </c>
      <c r="AU2556" s="1">
        <f t="shared" si="487"/>
        <v>0</v>
      </c>
      <c r="AV2556" s="1">
        <f t="shared" si="488"/>
        <v>0</v>
      </c>
      <c r="AW2556" s="1">
        <f t="shared" si="489"/>
        <v>0</v>
      </c>
      <c r="AX2556" s="1">
        <f t="shared" si="490"/>
        <v>0</v>
      </c>
    </row>
    <row r="2557" spans="1:50" s="1" customFormat="1" ht="21.95" customHeight="1" outlineLevel="3" x14ac:dyDescent="0.2">
      <c r="A2557" s="26"/>
      <c r="B2557" s="28">
        <v>4490</v>
      </c>
      <c r="C2557" s="28">
        <v>4490</v>
      </c>
      <c r="D2557" s="29" t="s">
        <v>8439</v>
      </c>
      <c r="E2557" s="29" t="s">
        <v>8440</v>
      </c>
      <c r="F2557" s="29" t="s">
        <v>8441</v>
      </c>
      <c r="G2557" s="29" t="s">
        <v>8194</v>
      </c>
      <c r="H2557" s="29" t="s">
        <v>40</v>
      </c>
      <c r="I2557" s="27">
        <v>2019</v>
      </c>
      <c r="J2557" s="29" t="s">
        <v>8442</v>
      </c>
      <c r="K2557" s="27">
        <v>9785001463351</v>
      </c>
      <c r="L2557" s="29" t="s">
        <v>8443</v>
      </c>
      <c r="M2557" s="27">
        <v>288</v>
      </c>
      <c r="N2557" s="30">
        <v>0.49</v>
      </c>
      <c r="O2557" s="27">
        <v>146</v>
      </c>
      <c r="P2557" s="27">
        <v>217</v>
      </c>
      <c r="Q2557" s="27">
        <v>1</v>
      </c>
      <c r="R2557" s="29" t="s">
        <v>43</v>
      </c>
      <c r="S2557" s="29" t="s">
        <v>8135</v>
      </c>
      <c r="T2557" s="28">
        <v>1021</v>
      </c>
      <c r="U2557" s="29" t="s">
        <v>8242</v>
      </c>
      <c r="V2557" s="29" t="s">
        <v>64</v>
      </c>
      <c r="W2557" s="27">
        <v>20</v>
      </c>
      <c r="X2557" s="37" t="str">
        <f>HYPERLINK("https://www.alpinabook.ru/catalog/book-585091/","ссылка на книгу")</f>
        <v>ссылка на книгу</v>
      </c>
      <c r="Y2557" s="38" t="str">
        <f t="shared" si="491"/>
        <v/>
      </c>
      <c r="Z2557" s="29"/>
      <c r="AT2557" s="1">
        <f t="shared" ref="AT2557:AT2588" si="492">IF($A2557&lt;&gt;0,1,0)</f>
        <v>0</v>
      </c>
      <c r="AU2557" s="1">
        <f t="shared" ref="AU2557:AU2588" si="493">$A2557*$B2557</f>
        <v>0</v>
      </c>
      <c r="AV2557" s="1">
        <f t="shared" ref="AV2557:AV2588" si="494">$A2557*$N2557</f>
        <v>0</v>
      </c>
      <c r="AW2557" s="1">
        <f t="shared" ref="AW2557:AW2588" si="495">IF($Q2557=0,0,INT($A2557/$Q2557))</f>
        <v>0</v>
      </c>
      <c r="AX2557" s="1">
        <f t="shared" ref="AX2557:AX2588" si="496">$A2557-$AW2557*$Q2557</f>
        <v>0</v>
      </c>
    </row>
    <row r="2558" spans="1:50" s="1" customFormat="1" ht="24.95" customHeight="1" outlineLevel="3" x14ac:dyDescent="0.2">
      <c r="A2558" s="26"/>
      <c r="B2558" s="28">
        <v>4490</v>
      </c>
      <c r="C2558" s="28">
        <v>4490</v>
      </c>
      <c r="D2558" s="29" t="s">
        <v>8444</v>
      </c>
      <c r="E2558" s="29" t="s">
        <v>8445</v>
      </c>
      <c r="F2558" s="29" t="s">
        <v>8446</v>
      </c>
      <c r="G2558" s="29" t="s">
        <v>8232</v>
      </c>
      <c r="H2558" s="29" t="s">
        <v>40</v>
      </c>
      <c r="I2558" s="27">
        <v>2019</v>
      </c>
      <c r="J2558" s="29" t="s">
        <v>8447</v>
      </c>
      <c r="K2558" s="27">
        <v>9785699872466</v>
      </c>
      <c r="L2558" s="29" t="s">
        <v>8448</v>
      </c>
      <c r="M2558" s="27">
        <v>320</v>
      </c>
      <c r="N2558" s="30">
        <v>0.54</v>
      </c>
      <c r="O2558" s="27">
        <v>146</v>
      </c>
      <c r="P2558" s="27">
        <v>217</v>
      </c>
      <c r="Q2558" s="27">
        <v>1</v>
      </c>
      <c r="R2558" s="29" t="s">
        <v>43</v>
      </c>
      <c r="S2558" s="29" t="s">
        <v>8135</v>
      </c>
      <c r="T2558" s="28">
        <v>1021</v>
      </c>
      <c r="U2558" s="29" t="s">
        <v>8242</v>
      </c>
      <c r="V2558" s="29" t="s">
        <v>64</v>
      </c>
      <c r="W2558" s="27">
        <v>20</v>
      </c>
      <c r="X2558" s="37" t="str">
        <f>HYPERLINK("https://www.alpinabook.ru/catalog/book-585093/","ссылка на книгу")</f>
        <v>ссылка на книгу</v>
      </c>
      <c r="Y2558" s="38" t="str">
        <f t="shared" ref="Y2558:Y2589" si="497">HYPERLINK("","")</f>
        <v/>
      </c>
      <c r="Z2558" s="29"/>
      <c r="AT2558" s="1">
        <f t="shared" si="492"/>
        <v>0</v>
      </c>
      <c r="AU2558" s="1">
        <f t="shared" si="493"/>
        <v>0</v>
      </c>
      <c r="AV2558" s="1">
        <f t="shared" si="494"/>
        <v>0</v>
      </c>
      <c r="AW2558" s="1">
        <f t="shared" si="495"/>
        <v>0</v>
      </c>
      <c r="AX2558" s="1">
        <f t="shared" si="496"/>
        <v>0</v>
      </c>
    </row>
    <row r="2559" spans="1:50" s="1" customFormat="1" ht="24.95" customHeight="1" outlineLevel="3" x14ac:dyDescent="0.2">
      <c r="A2559" s="26"/>
      <c r="B2559" s="28">
        <v>3990</v>
      </c>
      <c r="C2559" s="28">
        <v>3990</v>
      </c>
      <c r="D2559" s="29" t="s">
        <v>8449</v>
      </c>
      <c r="E2559" s="29" t="s">
        <v>8450</v>
      </c>
      <c r="F2559" s="29" t="s">
        <v>8451</v>
      </c>
      <c r="G2559" s="29" t="s">
        <v>8163</v>
      </c>
      <c r="H2559" s="29" t="s">
        <v>40</v>
      </c>
      <c r="I2559" s="27">
        <v>2019</v>
      </c>
      <c r="J2559" s="29" t="s">
        <v>8452</v>
      </c>
      <c r="K2559" s="27">
        <v>9785969303492</v>
      </c>
      <c r="L2559" s="29" t="s">
        <v>8453</v>
      </c>
      <c r="M2559" s="27">
        <v>288</v>
      </c>
      <c r="N2559" s="30">
        <v>0.49</v>
      </c>
      <c r="O2559" s="27">
        <v>146</v>
      </c>
      <c r="P2559" s="27">
        <v>217</v>
      </c>
      <c r="Q2559" s="27">
        <v>1</v>
      </c>
      <c r="R2559" s="29" t="s">
        <v>43</v>
      </c>
      <c r="S2559" s="29" t="s">
        <v>8135</v>
      </c>
      <c r="T2559" s="28">
        <v>1000</v>
      </c>
      <c r="U2559" s="29" t="s">
        <v>8242</v>
      </c>
      <c r="V2559" s="29" t="s">
        <v>64</v>
      </c>
      <c r="W2559" s="27">
        <v>20</v>
      </c>
      <c r="X2559" s="37" t="str">
        <f>HYPERLINK("https://www.alpinabook.ru/catalog/book-585095/","ссылка на книгу")</f>
        <v>ссылка на книгу</v>
      </c>
      <c r="Y2559" s="38" t="str">
        <f t="shared" si="497"/>
        <v/>
      </c>
      <c r="Z2559" s="29"/>
      <c r="AT2559" s="1">
        <f t="shared" si="492"/>
        <v>0</v>
      </c>
      <c r="AU2559" s="1">
        <f t="shared" si="493"/>
        <v>0</v>
      </c>
      <c r="AV2559" s="1">
        <f t="shared" si="494"/>
        <v>0</v>
      </c>
      <c r="AW2559" s="1">
        <f t="shared" si="495"/>
        <v>0</v>
      </c>
      <c r="AX2559" s="1">
        <f t="shared" si="496"/>
        <v>0</v>
      </c>
    </row>
    <row r="2560" spans="1:50" s="1" customFormat="1" ht="21.95" customHeight="1" outlineLevel="3" x14ac:dyDescent="0.2">
      <c r="A2560" s="26"/>
      <c r="B2560" s="28">
        <v>5990</v>
      </c>
      <c r="C2560" s="28">
        <v>5990</v>
      </c>
      <c r="D2560" s="29" t="s">
        <v>8454</v>
      </c>
      <c r="E2560" s="29" t="s">
        <v>8455</v>
      </c>
      <c r="F2560" s="29" t="s">
        <v>8456</v>
      </c>
      <c r="G2560" s="29" t="s">
        <v>8232</v>
      </c>
      <c r="H2560" s="29" t="s">
        <v>40</v>
      </c>
      <c r="I2560" s="27">
        <v>2018</v>
      </c>
      <c r="J2560" s="29" t="s">
        <v>8457</v>
      </c>
      <c r="K2560" s="27">
        <v>9785699893935</v>
      </c>
      <c r="L2560" s="29" t="s">
        <v>8458</v>
      </c>
      <c r="M2560" s="27">
        <v>208</v>
      </c>
      <c r="N2560" s="30">
        <v>0.35</v>
      </c>
      <c r="O2560" s="27">
        <v>146</v>
      </c>
      <c r="P2560" s="27">
        <v>217</v>
      </c>
      <c r="Q2560" s="27">
        <v>1</v>
      </c>
      <c r="R2560" s="29" t="s">
        <v>43</v>
      </c>
      <c r="S2560" s="29" t="s">
        <v>8135</v>
      </c>
      <c r="T2560" s="28">
        <v>1000</v>
      </c>
      <c r="U2560" s="29" t="s">
        <v>52</v>
      </c>
      <c r="V2560" s="29" t="s">
        <v>59</v>
      </c>
      <c r="W2560" s="27">
        <v>20</v>
      </c>
      <c r="X2560" s="37" t="str">
        <f>HYPERLINK("https://www.alpinabook.ru/catalog/book-585097/","ссылка на книгу")</f>
        <v>ссылка на книгу</v>
      </c>
      <c r="Y2560" s="38" t="str">
        <f t="shared" si="497"/>
        <v/>
      </c>
      <c r="Z2560" s="29"/>
      <c r="AT2560" s="1">
        <f t="shared" si="492"/>
        <v>0</v>
      </c>
      <c r="AU2560" s="1">
        <f t="shared" si="493"/>
        <v>0</v>
      </c>
      <c r="AV2560" s="1">
        <f t="shared" si="494"/>
        <v>0</v>
      </c>
      <c r="AW2560" s="1">
        <f t="shared" si="495"/>
        <v>0</v>
      </c>
      <c r="AX2560" s="1">
        <f t="shared" si="496"/>
        <v>0</v>
      </c>
    </row>
    <row r="2561" spans="1:50" s="1" customFormat="1" ht="21.95" customHeight="1" outlineLevel="3" x14ac:dyDescent="0.2">
      <c r="A2561" s="26"/>
      <c r="B2561" s="28">
        <v>4490</v>
      </c>
      <c r="C2561" s="28">
        <v>4490</v>
      </c>
      <c r="D2561" s="29" t="s">
        <v>8459</v>
      </c>
      <c r="E2561" s="29" t="s">
        <v>8280</v>
      </c>
      <c r="F2561" s="29" t="s">
        <v>8460</v>
      </c>
      <c r="G2561" s="29" t="s">
        <v>8163</v>
      </c>
      <c r="H2561" s="29" t="s">
        <v>40</v>
      </c>
      <c r="I2561" s="27">
        <v>2019</v>
      </c>
      <c r="J2561" s="29" t="s">
        <v>8461</v>
      </c>
      <c r="K2561" s="27">
        <v>9785969303560</v>
      </c>
      <c r="L2561" s="29" t="s">
        <v>8462</v>
      </c>
      <c r="M2561" s="27">
        <v>512</v>
      </c>
      <c r="N2561" s="30">
        <v>0.87</v>
      </c>
      <c r="O2561" s="27">
        <v>146</v>
      </c>
      <c r="P2561" s="27">
        <v>217</v>
      </c>
      <c r="Q2561" s="27">
        <v>1</v>
      </c>
      <c r="R2561" s="29" t="s">
        <v>43</v>
      </c>
      <c r="S2561" s="29" t="s">
        <v>8135</v>
      </c>
      <c r="T2561" s="28">
        <v>1000</v>
      </c>
      <c r="U2561" s="29" t="s">
        <v>8242</v>
      </c>
      <c r="V2561" s="29" t="s">
        <v>64</v>
      </c>
      <c r="W2561" s="27">
        <v>20</v>
      </c>
      <c r="X2561" s="37" t="str">
        <f>HYPERLINK("https://www.alpinabook.ru/catalog/book-585101/","ссылка на книгу")</f>
        <v>ссылка на книгу</v>
      </c>
      <c r="Y2561" s="38" t="str">
        <f t="shared" si="497"/>
        <v/>
      </c>
      <c r="Z2561" s="29"/>
      <c r="AT2561" s="1">
        <f t="shared" si="492"/>
        <v>0</v>
      </c>
      <c r="AU2561" s="1">
        <f t="shared" si="493"/>
        <v>0</v>
      </c>
      <c r="AV2561" s="1">
        <f t="shared" si="494"/>
        <v>0</v>
      </c>
      <c r="AW2561" s="1">
        <f t="shared" si="495"/>
        <v>0</v>
      </c>
      <c r="AX2561" s="1">
        <f t="shared" si="496"/>
        <v>0</v>
      </c>
    </row>
    <row r="2562" spans="1:50" s="1" customFormat="1" ht="21.95" customHeight="1" outlineLevel="3" x14ac:dyDescent="0.2">
      <c r="A2562" s="26"/>
      <c r="B2562" s="28">
        <v>3490</v>
      </c>
      <c r="C2562" s="28">
        <v>3490</v>
      </c>
      <c r="D2562" s="29" t="s">
        <v>8463</v>
      </c>
      <c r="E2562" s="29" t="s">
        <v>8464</v>
      </c>
      <c r="F2562" s="29" t="s">
        <v>8465</v>
      </c>
      <c r="G2562" s="29" t="s">
        <v>8163</v>
      </c>
      <c r="H2562" s="29" t="s">
        <v>40</v>
      </c>
      <c r="I2562" s="27">
        <v>2016</v>
      </c>
      <c r="J2562" s="29" t="s">
        <v>8466</v>
      </c>
      <c r="K2562" s="27">
        <v>9785969303508</v>
      </c>
      <c r="L2562" s="29" t="s">
        <v>8467</v>
      </c>
      <c r="M2562" s="27">
        <v>208</v>
      </c>
      <c r="N2562" s="30">
        <v>0.35</v>
      </c>
      <c r="O2562" s="27">
        <v>146</v>
      </c>
      <c r="P2562" s="27">
        <v>217</v>
      </c>
      <c r="Q2562" s="27">
        <v>1</v>
      </c>
      <c r="R2562" s="29" t="s">
        <v>43</v>
      </c>
      <c r="S2562" s="29" t="s">
        <v>8135</v>
      </c>
      <c r="T2562" s="28">
        <v>6500</v>
      </c>
      <c r="U2562" s="29" t="s">
        <v>52</v>
      </c>
      <c r="V2562" s="29" t="s">
        <v>64</v>
      </c>
      <c r="W2562" s="27">
        <v>20</v>
      </c>
      <c r="X2562" s="37" t="str">
        <f>HYPERLINK("https://www.alpinabook.ru/catalog/book-584283/","ссылка на книгу")</f>
        <v>ссылка на книгу</v>
      </c>
      <c r="Y2562" s="38" t="str">
        <f t="shared" si="497"/>
        <v/>
      </c>
      <c r="Z2562" s="29"/>
      <c r="AT2562" s="1">
        <f t="shared" si="492"/>
        <v>0</v>
      </c>
      <c r="AU2562" s="1">
        <f t="shared" si="493"/>
        <v>0</v>
      </c>
      <c r="AV2562" s="1">
        <f t="shared" si="494"/>
        <v>0</v>
      </c>
      <c r="AW2562" s="1">
        <f t="shared" si="495"/>
        <v>0</v>
      </c>
      <c r="AX2562" s="1">
        <f t="shared" si="496"/>
        <v>0</v>
      </c>
    </row>
    <row r="2563" spans="1:50" s="1" customFormat="1" ht="24.95" customHeight="1" outlineLevel="3" x14ac:dyDescent="0.2">
      <c r="A2563" s="26"/>
      <c r="B2563" s="28">
        <v>4990</v>
      </c>
      <c r="C2563" s="28">
        <v>4990</v>
      </c>
      <c r="D2563" s="29" t="s">
        <v>8468</v>
      </c>
      <c r="E2563" s="29" t="s">
        <v>8469</v>
      </c>
      <c r="F2563" s="29" t="s">
        <v>8470</v>
      </c>
      <c r="G2563" s="29" t="s">
        <v>8194</v>
      </c>
      <c r="H2563" s="29" t="s">
        <v>40</v>
      </c>
      <c r="I2563" s="27">
        <v>2019</v>
      </c>
      <c r="J2563" s="29" t="s">
        <v>8471</v>
      </c>
      <c r="K2563" s="27">
        <v>9785001461142</v>
      </c>
      <c r="L2563" s="29" t="s">
        <v>8472</v>
      </c>
      <c r="M2563" s="27">
        <v>352</v>
      </c>
      <c r="N2563" s="30">
        <v>0.57999999999999996</v>
      </c>
      <c r="O2563" s="27">
        <v>146</v>
      </c>
      <c r="P2563" s="27">
        <v>217</v>
      </c>
      <c r="Q2563" s="27">
        <v>1</v>
      </c>
      <c r="R2563" s="29" t="s">
        <v>43</v>
      </c>
      <c r="S2563" s="29" t="s">
        <v>8135</v>
      </c>
      <c r="T2563" s="28">
        <v>1000</v>
      </c>
      <c r="U2563" s="29" t="s">
        <v>52</v>
      </c>
      <c r="V2563" s="29" t="s">
        <v>64</v>
      </c>
      <c r="W2563" s="27">
        <v>20</v>
      </c>
      <c r="X2563" s="37" t="str">
        <f>HYPERLINK("https://www.alpinabook.ru/catalog/book-584928/","ссылка на книгу")</f>
        <v>ссылка на книгу</v>
      </c>
      <c r="Y2563" s="38" t="str">
        <f t="shared" si="497"/>
        <v/>
      </c>
      <c r="Z2563" s="29"/>
      <c r="AT2563" s="1">
        <f t="shared" si="492"/>
        <v>0</v>
      </c>
      <c r="AU2563" s="1">
        <f t="shared" si="493"/>
        <v>0</v>
      </c>
      <c r="AV2563" s="1">
        <f t="shared" si="494"/>
        <v>0</v>
      </c>
      <c r="AW2563" s="1">
        <f t="shared" si="495"/>
        <v>0</v>
      </c>
      <c r="AX2563" s="1">
        <f t="shared" si="496"/>
        <v>0</v>
      </c>
    </row>
    <row r="2564" spans="1:50" s="1" customFormat="1" ht="21.95" customHeight="1" outlineLevel="3" x14ac:dyDescent="0.2">
      <c r="A2564" s="26"/>
      <c r="B2564" s="28">
        <v>4490</v>
      </c>
      <c r="C2564" s="28">
        <v>4490</v>
      </c>
      <c r="D2564" s="29" t="s">
        <v>8473</v>
      </c>
      <c r="E2564" s="29" t="s">
        <v>8474</v>
      </c>
      <c r="F2564" s="29" t="s">
        <v>8475</v>
      </c>
      <c r="G2564" s="29" t="s">
        <v>8194</v>
      </c>
      <c r="H2564" s="29" t="s">
        <v>40</v>
      </c>
      <c r="I2564" s="27">
        <v>2019</v>
      </c>
      <c r="J2564" s="29" t="s">
        <v>8476</v>
      </c>
      <c r="K2564" s="27">
        <v>9785001463368</v>
      </c>
      <c r="L2564" s="29" t="s">
        <v>8477</v>
      </c>
      <c r="M2564" s="27">
        <v>208</v>
      </c>
      <c r="N2564" s="30">
        <v>0.35</v>
      </c>
      <c r="O2564" s="27">
        <v>146</v>
      </c>
      <c r="P2564" s="27">
        <v>217</v>
      </c>
      <c r="Q2564" s="27">
        <v>1</v>
      </c>
      <c r="R2564" s="29" t="s">
        <v>43</v>
      </c>
      <c r="S2564" s="29" t="s">
        <v>8135</v>
      </c>
      <c r="T2564" s="28">
        <v>1021</v>
      </c>
      <c r="U2564" s="29" t="s">
        <v>8242</v>
      </c>
      <c r="V2564" s="29" t="s">
        <v>64</v>
      </c>
      <c r="W2564" s="27">
        <v>20</v>
      </c>
      <c r="X2564" s="37" t="str">
        <f>HYPERLINK("https://www.alpinabook.ru/catalog/book-584935/","ссылка на книгу")</f>
        <v>ссылка на книгу</v>
      </c>
      <c r="Y2564" s="38" t="str">
        <f t="shared" si="497"/>
        <v/>
      </c>
      <c r="Z2564" s="29"/>
      <c r="AT2564" s="1">
        <f t="shared" si="492"/>
        <v>0</v>
      </c>
      <c r="AU2564" s="1">
        <f t="shared" si="493"/>
        <v>0</v>
      </c>
      <c r="AV2564" s="1">
        <f t="shared" si="494"/>
        <v>0</v>
      </c>
      <c r="AW2564" s="1">
        <f t="shared" si="495"/>
        <v>0</v>
      </c>
      <c r="AX2564" s="1">
        <f t="shared" si="496"/>
        <v>0</v>
      </c>
    </row>
    <row r="2565" spans="1:50" s="1" customFormat="1" ht="21.95" customHeight="1" outlineLevel="3" x14ac:dyDescent="0.2">
      <c r="A2565" s="26"/>
      <c r="B2565" s="28">
        <v>3990</v>
      </c>
      <c r="C2565" s="28">
        <v>3990</v>
      </c>
      <c r="D2565" s="29" t="s">
        <v>8478</v>
      </c>
      <c r="E2565" s="29" t="s">
        <v>8479</v>
      </c>
      <c r="F2565" s="29" t="s">
        <v>8480</v>
      </c>
      <c r="G2565" s="29" t="s">
        <v>8163</v>
      </c>
      <c r="H2565" s="29" t="s">
        <v>40</v>
      </c>
      <c r="I2565" s="27">
        <v>2019</v>
      </c>
      <c r="J2565" s="29" t="s">
        <v>8481</v>
      </c>
      <c r="K2565" s="27">
        <v>9785969303676</v>
      </c>
      <c r="L2565" s="29" t="s">
        <v>8482</v>
      </c>
      <c r="M2565" s="27">
        <v>224</v>
      </c>
      <c r="N2565" s="30">
        <v>0.4</v>
      </c>
      <c r="O2565" s="27">
        <v>146</v>
      </c>
      <c r="P2565" s="27">
        <v>217</v>
      </c>
      <c r="Q2565" s="27">
        <v>1</v>
      </c>
      <c r="R2565" s="29" t="s">
        <v>43</v>
      </c>
      <c r="S2565" s="29" t="s">
        <v>8135</v>
      </c>
      <c r="T2565" s="28">
        <v>1000</v>
      </c>
      <c r="U2565" s="29" t="s">
        <v>52</v>
      </c>
      <c r="V2565" s="29" t="s">
        <v>64</v>
      </c>
      <c r="W2565" s="27">
        <v>20</v>
      </c>
      <c r="X2565" s="37" t="str">
        <f>HYPERLINK("https://www.alpinabook.ru/catalog/book-584940/","ссылка на книгу")</f>
        <v>ссылка на книгу</v>
      </c>
      <c r="Y2565" s="38" t="str">
        <f t="shared" si="497"/>
        <v/>
      </c>
      <c r="Z2565" s="29"/>
      <c r="AT2565" s="1">
        <f t="shared" si="492"/>
        <v>0</v>
      </c>
      <c r="AU2565" s="1">
        <f t="shared" si="493"/>
        <v>0</v>
      </c>
      <c r="AV2565" s="1">
        <f t="shared" si="494"/>
        <v>0</v>
      </c>
      <c r="AW2565" s="1">
        <f t="shared" si="495"/>
        <v>0</v>
      </c>
      <c r="AX2565" s="1">
        <f t="shared" si="496"/>
        <v>0</v>
      </c>
    </row>
    <row r="2566" spans="1:50" s="1" customFormat="1" ht="21.95" customHeight="1" outlineLevel="3" x14ac:dyDescent="0.2">
      <c r="A2566" s="26"/>
      <c r="B2566" s="28">
        <v>5990</v>
      </c>
      <c r="C2566" s="28">
        <v>5990</v>
      </c>
      <c r="D2566" s="29" t="s">
        <v>8483</v>
      </c>
      <c r="E2566" s="29" t="s">
        <v>8484</v>
      </c>
      <c r="F2566" s="29" t="s">
        <v>8485</v>
      </c>
      <c r="G2566" s="29" t="s">
        <v>8163</v>
      </c>
      <c r="H2566" s="29" t="s">
        <v>40</v>
      </c>
      <c r="I2566" s="27">
        <v>2019</v>
      </c>
      <c r="J2566" s="29" t="s">
        <v>8486</v>
      </c>
      <c r="K2566" s="27">
        <v>9785969302969</v>
      </c>
      <c r="L2566" s="29" t="s">
        <v>8487</v>
      </c>
      <c r="M2566" s="27">
        <v>286</v>
      </c>
      <c r="N2566" s="30">
        <v>0.66</v>
      </c>
      <c r="O2566" s="27">
        <v>146</v>
      </c>
      <c r="P2566" s="27">
        <v>217</v>
      </c>
      <c r="Q2566" s="27">
        <v>1</v>
      </c>
      <c r="R2566" s="29" t="s">
        <v>43</v>
      </c>
      <c r="S2566" s="29" t="s">
        <v>8135</v>
      </c>
      <c r="T2566" s="28">
        <v>1000</v>
      </c>
      <c r="U2566" s="29" t="s">
        <v>52</v>
      </c>
      <c r="V2566" s="29" t="s">
        <v>64</v>
      </c>
      <c r="W2566" s="27">
        <v>20</v>
      </c>
      <c r="X2566" s="37" t="str">
        <f>HYPERLINK("https://www.alpinabook.ru/catalog/book-584947/","ссылка на книгу")</f>
        <v>ссылка на книгу</v>
      </c>
      <c r="Y2566" s="38" t="str">
        <f t="shared" si="497"/>
        <v/>
      </c>
      <c r="Z2566" s="29"/>
      <c r="AT2566" s="1">
        <f t="shared" si="492"/>
        <v>0</v>
      </c>
      <c r="AU2566" s="1">
        <f t="shared" si="493"/>
        <v>0</v>
      </c>
      <c r="AV2566" s="1">
        <f t="shared" si="494"/>
        <v>0</v>
      </c>
      <c r="AW2566" s="1">
        <f t="shared" si="495"/>
        <v>0</v>
      </c>
      <c r="AX2566" s="1">
        <f t="shared" si="496"/>
        <v>0</v>
      </c>
    </row>
    <row r="2567" spans="1:50" s="1" customFormat="1" ht="24.95" customHeight="1" outlineLevel="3" x14ac:dyDescent="0.2">
      <c r="A2567" s="26"/>
      <c r="B2567" s="28">
        <v>4490</v>
      </c>
      <c r="C2567" s="28">
        <v>4490</v>
      </c>
      <c r="D2567" s="29" t="s">
        <v>8488</v>
      </c>
      <c r="E2567" s="29" t="s">
        <v>8489</v>
      </c>
      <c r="F2567" s="29" t="s">
        <v>8490</v>
      </c>
      <c r="G2567" s="29" t="s">
        <v>8163</v>
      </c>
      <c r="H2567" s="29" t="s">
        <v>40</v>
      </c>
      <c r="I2567" s="27">
        <v>2019</v>
      </c>
      <c r="J2567" s="29" t="s">
        <v>8491</v>
      </c>
      <c r="K2567" s="27">
        <v>9785990905207</v>
      </c>
      <c r="L2567" s="29" t="s">
        <v>8492</v>
      </c>
      <c r="M2567" s="27">
        <v>528</v>
      </c>
      <c r="N2567" s="30">
        <v>0.77</v>
      </c>
      <c r="O2567" s="27">
        <v>146</v>
      </c>
      <c r="P2567" s="27">
        <v>216</v>
      </c>
      <c r="Q2567" s="27">
        <v>1</v>
      </c>
      <c r="R2567" s="29" t="s">
        <v>43</v>
      </c>
      <c r="S2567" s="29" t="s">
        <v>8135</v>
      </c>
      <c r="T2567" s="28">
        <v>1000</v>
      </c>
      <c r="U2567" s="29" t="s">
        <v>52</v>
      </c>
      <c r="V2567" s="29" t="s">
        <v>64</v>
      </c>
      <c r="W2567" s="27">
        <v>20</v>
      </c>
      <c r="X2567" s="37" t="str">
        <f>HYPERLINK("https://www.alpinabook.ru/catalog/book-584955/","ссылка на книгу")</f>
        <v>ссылка на книгу</v>
      </c>
      <c r="Y2567" s="38" t="str">
        <f t="shared" si="497"/>
        <v/>
      </c>
      <c r="Z2567" s="29"/>
      <c r="AT2567" s="1">
        <f t="shared" si="492"/>
        <v>0</v>
      </c>
      <c r="AU2567" s="1">
        <f t="shared" si="493"/>
        <v>0</v>
      </c>
      <c r="AV2567" s="1">
        <f t="shared" si="494"/>
        <v>0</v>
      </c>
      <c r="AW2567" s="1">
        <f t="shared" si="495"/>
        <v>0</v>
      </c>
      <c r="AX2567" s="1">
        <f t="shared" si="496"/>
        <v>0</v>
      </c>
    </row>
    <row r="2568" spans="1:50" s="1" customFormat="1" ht="21.95" customHeight="1" outlineLevel="3" x14ac:dyDescent="0.2">
      <c r="A2568" s="26"/>
      <c r="B2568" s="28">
        <v>5990</v>
      </c>
      <c r="C2568" s="28">
        <v>5990</v>
      </c>
      <c r="D2568" s="29" t="s">
        <v>8493</v>
      </c>
      <c r="E2568" s="29" t="s">
        <v>8494</v>
      </c>
      <c r="F2568" s="29" t="s">
        <v>8495</v>
      </c>
      <c r="G2568" s="29" t="s">
        <v>8346</v>
      </c>
      <c r="H2568" s="29" t="s">
        <v>40</v>
      </c>
      <c r="I2568" s="27">
        <v>2018</v>
      </c>
      <c r="J2568" s="29" t="s">
        <v>8496</v>
      </c>
      <c r="K2568" s="27">
        <v>9785179825845</v>
      </c>
      <c r="L2568" s="29" t="s">
        <v>8497</v>
      </c>
      <c r="M2568" s="27">
        <v>286</v>
      </c>
      <c r="N2568" s="30">
        <v>0.49</v>
      </c>
      <c r="O2568" s="27">
        <v>146</v>
      </c>
      <c r="P2568" s="27">
        <v>217</v>
      </c>
      <c r="Q2568" s="27">
        <v>1</v>
      </c>
      <c r="R2568" s="29" t="s">
        <v>43</v>
      </c>
      <c r="S2568" s="29" t="s">
        <v>8135</v>
      </c>
      <c r="T2568" s="28">
        <v>1000</v>
      </c>
      <c r="U2568" s="29" t="s">
        <v>52</v>
      </c>
      <c r="V2568" s="29" t="s">
        <v>64</v>
      </c>
      <c r="W2568" s="27">
        <v>20</v>
      </c>
      <c r="X2568" s="37" t="str">
        <f>HYPERLINK("https://alpinabook.ru/catalog/book-ishchi-v-sebe-sberbank/","ссылка на книгу")</f>
        <v>ссылка на книгу</v>
      </c>
      <c r="Y2568" s="38" t="str">
        <f t="shared" si="497"/>
        <v/>
      </c>
      <c r="Z2568" s="29"/>
      <c r="AT2568" s="1">
        <f t="shared" si="492"/>
        <v>0</v>
      </c>
      <c r="AU2568" s="1">
        <f t="shared" si="493"/>
        <v>0</v>
      </c>
      <c r="AV2568" s="1">
        <f t="shared" si="494"/>
        <v>0</v>
      </c>
      <c r="AW2568" s="1">
        <f t="shared" si="495"/>
        <v>0</v>
      </c>
      <c r="AX2568" s="1">
        <f t="shared" si="496"/>
        <v>0</v>
      </c>
    </row>
    <row r="2569" spans="1:50" s="1" customFormat="1" ht="21.95" customHeight="1" outlineLevel="3" x14ac:dyDescent="0.2">
      <c r="A2569" s="26"/>
      <c r="B2569" s="28">
        <v>4990</v>
      </c>
      <c r="C2569" s="28">
        <v>4990</v>
      </c>
      <c r="D2569" s="29" t="s">
        <v>8498</v>
      </c>
      <c r="E2569" s="29" t="s">
        <v>8499</v>
      </c>
      <c r="F2569" s="29" t="s">
        <v>8500</v>
      </c>
      <c r="G2569" s="29" t="s">
        <v>8194</v>
      </c>
      <c r="H2569" s="29" t="s">
        <v>40</v>
      </c>
      <c r="I2569" s="27">
        <v>2019</v>
      </c>
      <c r="J2569" s="29" t="s">
        <v>8501</v>
      </c>
      <c r="K2569" s="27">
        <v>9785001463405</v>
      </c>
      <c r="L2569" s="29" t="s">
        <v>8502</v>
      </c>
      <c r="M2569" s="27">
        <v>464</v>
      </c>
      <c r="N2569" s="30">
        <v>0.79</v>
      </c>
      <c r="O2569" s="27">
        <v>146</v>
      </c>
      <c r="P2569" s="27">
        <v>217</v>
      </c>
      <c r="Q2569" s="27">
        <v>1</v>
      </c>
      <c r="R2569" s="29" t="s">
        <v>43</v>
      </c>
      <c r="S2569" s="29" t="s">
        <v>8135</v>
      </c>
      <c r="T2569" s="28">
        <v>1021</v>
      </c>
      <c r="U2569" s="29" t="s">
        <v>8242</v>
      </c>
      <c r="V2569" s="29" t="s">
        <v>64</v>
      </c>
      <c r="W2569" s="27">
        <v>20</v>
      </c>
      <c r="X2569" s="37" t="str">
        <f>HYPERLINK("https://www.alpinabook.ru/catalog/book-584968/","ссылка на книгу")</f>
        <v>ссылка на книгу</v>
      </c>
      <c r="Y2569" s="38" t="str">
        <f t="shared" si="497"/>
        <v/>
      </c>
      <c r="Z2569" s="29"/>
      <c r="AT2569" s="1">
        <f t="shared" si="492"/>
        <v>0</v>
      </c>
      <c r="AU2569" s="1">
        <f t="shared" si="493"/>
        <v>0</v>
      </c>
      <c r="AV2569" s="1">
        <f t="shared" si="494"/>
        <v>0</v>
      </c>
      <c r="AW2569" s="1">
        <f t="shared" si="495"/>
        <v>0</v>
      </c>
      <c r="AX2569" s="1">
        <f t="shared" si="496"/>
        <v>0</v>
      </c>
    </row>
    <row r="2570" spans="1:50" s="1" customFormat="1" ht="21.95" customHeight="1" outlineLevel="3" x14ac:dyDescent="0.2">
      <c r="A2570" s="26"/>
      <c r="B2570" s="28">
        <v>5990</v>
      </c>
      <c r="C2570" s="28">
        <v>5990</v>
      </c>
      <c r="D2570" s="29" t="s">
        <v>8503</v>
      </c>
      <c r="E2570" s="29" t="s">
        <v>8504</v>
      </c>
      <c r="F2570" s="29" t="s">
        <v>8505</v>
      </c>
      <c r="G2570" s="29" t="s">
        <v>8163</v>
      </c>
      <c r="H2570" s="29" t="s">
        <v>40</v>
      </c>
      <c r="I2570" s="27">
        <v>2017</v>
      </c>
      <c r="J2570" s="29" t="s">
        <v>8506</v>
      </c>
      <c r="K2570" s="27">
        <v>9785969303805</v>
      </c>
      <c r="L2570" s="29" t="s">
        <v>8507</v>
      </c>
      <c r="M2570" s="27">
        <v>386</v>
      </c>
      <c r="N2570" s="30">
        <v>0.68</v>
      </c>
      <c r="O2570" s="27">
        <v>146</v>
      </c>
      <c r="P2570" s="27">
        <v>217</v>
      </c>
      <c r="Q2570" s="27">
        <v>1</v>
      </c>
      <c r="R2570" s="29" t="s">
        <v>43</v>
      </c>
      <c r="S2570" s="29" t="s">
        <v>8135</v>
      </c>
      <c r="T2570" s="28">
        <v>6500</v>
      </c>
      <c r="U2570" s="29" t="s">
        <v>52</v>
      </c>
      <c r="V2570" s="29" t="s">
        <v>64</v>
      </c>
      <c r="W2570" s="27">
        <v>20</v>
      </c>
      <c r="X2570" s="37" t="str">
        <f>HYPERLINK("https://www.alpinabook.ru/catalog/book-584973/","ссылка на книгу")</f>
        <v>ссылка на книгу</v>
      </c>
      <c r="Y2570" s="38" t="str">
        <f t="shared" si="497"/>
        <v/>
      </c>
      <c r="Z2570" s="29"/>
      <c r="AT2570" s="1">
        <f t="shared" si="492"/>
        <v>0</v>
      </c>
      <c r="AU2570" s="1">
        <f t="shared" si="493"/>
        <v>0</v>
      </c>
      <c r="AV2570" s="1">
        <f t="shared" si="494"/>
        <v>0</v>
      </c>
      <c r="AW2570" s="1">
        <f t="shared" si="495"/>
        <v>0</v>
      </c>
      <c r="AX2570" s="1">
        <f t="shared" si="496"/>
        <v>0</v>
      </c>
    </row>
    <row r="2571" spans="1:50" s="1" customFormat="1" ht="24.95" customHeight="1" outlineLevel="3" x14ac:dyDescent="0.2">
      <c r="A2571" s="26"/>
      <c r="B2571" s="28">
        <v>4490</v>
      </c>
      <c r="C2571" s="28">
        <v>4490</v>
      </c>
      <c r="D2571" s="29" t="s">
        <v>8508</v>
      </c>
      <c r="E2571" s="29" t="s">
        <v>8509</v>
      </c>
      <c r="F2571" s="29" t="s">
        <v>8510</v>
      </c>
      <c r="G2571" s="29" t="s">
        <v>8163</v>
      </c>
      <c r="H2571" s="29" t="s">
        <v>40</v>
      </c>
      <c r="I2571" s="27">
        <v>2017</v>
      </c>
      <c r="J2571" s="29" t="s">
        <v>8511</v>
      </c>
      <c r="K2571" s="27">
        <v>9785990905276</v>
      </c>
      <c r="L2571" s="29" t="s">
        <v>8512</v>
      </c>
      <c r="M2571" s="27">
        <v>432</v>
      </c>
      <c r="N2571" s="30">
        <v>0.73</v>
      </c>
      <c r="O2571" s="27">
        <v>146</v>
      </c>
      <c r="P2571" s="27">
        <v>217</v>
      </c>
      <c r="Q2571" s="27">
        <v>1</v>
      </c>
      <c r="R2571" s="29" t="s">
        <v>43</v>
      </c>
      <c r="S2571" s="29" t="s">
        <v>8135</v>
      </c>
      <c r="T2571" s="28">
        <v>6500</v>
      </c>
      <c r="U2571" s="29" t="s">
        <v>52</v>
      </c>
      <c r="V2571" s="29" t="s">
        <v>64</v>
      </c>
      <c r="W2571" s="27">
        <v>20</v>
      </c>
      <c r="X2571" s="37" t="str">
        <f>HYPERLINK("https://www.alpinabook.ru/catalog/book-584980/","ссылка на книгу")</f>
        <v>ссылка на книгу</v>
      </c>
      <c r="Y2571" s="38" t="str">
        <f t="shared" si="497"/>
        <v/>
      </c>
      <c r="Z2571" s="29"/>
      <c r="AT2571" s="1">
        <f t="shared" si="492"/>
        <v>0</v>
      </c>
      <c r="AU2571" s="1">
        <f t="shared" si="493"/>
        <v>0</v>
      </c>
      <c r="AV2571" s="1">
        <f t="shared" si="494"/>
        <v>0</v>
      </c>
      <c r="AW2571" s="1">
        <f t="shared" si="495"/>
        <v>0</v>
      </c>
      <c r="AX2571" s="1">
        <f t="shared" si="496"/>
        <v>0</v>
      </c>
    </row>
    <row r="2572" spans="1:50" s="1" customFormat="1" ht="21.95" customHeight="1" outlineLevel="3" x14ac:dyDescent="0.2">
      <c r="A2572" s="26"/>
      <c r="B2572" s="28">
        <v>3990</v>
      </c>
      <c r="C2572" s="28">
        <v>3990</v>
      </c>
      <c r="D2572" s="29" t="s">
        <v>8513</v>
      </c>
      <c r="E2572" s="29" t="s">
        <v>8514</v>
      </c>
      <c r="F2572" s="29" t="s">
        <v>8515</v>
      </c>
      <c r="G2572" s="29" t="s">
        <v>8232</v>
      </c>
      <c r="H2572" s="29" t="s">
        <v>40</v>
      </c>
      <c r="I2572" s="27">
        <v>2018</v>
      </c>
      <c r="J2572" s="29" t="s">
        <v>8516</v>
      </c>
      <c r="K2572" s="27">
        <v>9785699920815</v>
      </c>
      <c r="L2572" s="29" t="s">
        <v>8517</v>
      </c>
      <c r="M2572" s="27">
        <v>432</v>
      </c>
      <c r="N2572" s="30">
        <v>0.73</v>
      </c>
      <c r="O2572" s="27">
        <v>146</v>
      </c>
      <c r="P2572" s="27">
        <v>217</v>
      </c>
      <c r="Q2572" s="27">
        <v>1</v>
      </c>
      <c r="R2572" s="29" t="s">
        <v>43</v>
      </c>
      <c r="S2572" s="29" t="s">
        <v>8135</v>
      </c>
      <c r="T2572" s="28">
        <v>1000</v>
      </c>
      <c r="U2572" s="29" t="s">
        <v>52</v>
      </c>
      <c r="V2572" s="29" t="s">
        <v>64</v>
      </c>
      <c r="W2572" s="27">
        <v>20</v>
      </c>
      <c r="X2572" s="37" t="str">
        <f>HYPERLINK("https://alpinabook.ru/catalog/book-prosto-ob-agile-sberbank/","ссылка на книгу")</f>
        <v>ссылка на книгу</v>
      </c>
      <c r="Y2572" s="38" t="str">
        <f t="shared" si="497"/>
        <v/>
      </c>
      <c r="Z2572" s="29"/>
      <c r="AT2572" s="1">
        <f t="shared" si="492"/>
        <v>0</v>
      </c>
      <c r="AU2572" s="1">
        <f t="shared" si="493"/>
        <v>0</v>
      </c>
      <c r="AV2572" s="1">
        <f t="shared" si="494"/>
        <v>0</v>
      </c>
      <c r="AW2572" s="1">
        <f t="shared" si="495"/>
        <v>0</v>
      </c>
      <c r="AX2572" s="1">
        <f t="shared" si="496"/>
        <v>0</v>
      </c>
    </row>
    <row r="2573" spans="1:50" s="1" customFormat="1" ht="21.95" customHeight="1" outlineLevel="3" x14ac:dyDescent="0.2">
      <c r="A2573" s="26"/>
      <c r="B2573" s="28">
        <v>4490</v>
      </c>
      <c r="C2573" s="28">
        <v>4490</v>
      </c>
      <c r="D2573" s="29" t="s">
        <v>8518</v>
      </c>
      <c r="E2573" s="29" t="s">
        <v>8519</v>
      </c>
      <c r="F2573" s="29" t="s">
        <v>8520</v>
      </c>
      <c r="G2573" s="29" t="s">
        <v>8232</v>
      </c>
      <c r="H2573" s="29" t="s">
        <v>40</v>
      </c>
      <c r="I2573" s="27">
        <v>2019</v>
      </c>
      <c r="J2573" s="29" t="s">
        <v>8521</v>
      </c>
      <c r="K2573" s="27">
        <v>9785699999361</v>
      </c>
      <c r="L2573" s="29" t="s">
        <v>8522</v>
      </c>
      <c r="M2573" s="27">
        <v>368</v>
      </c>
      <c r="N2573" s="30">
        <v>0.63</v>
      </c>
      <c r="O2573" s="27">
        <v>146</v>
      </c>
      <c r="P2573" s="27">
        <v>217</v>
      </c>
      <c r="Q2573" s="27">
        <v>1</v>
      </c>
      <c r="R2573" s="29" t="s">
        <v>43</v>
      </c>
      <c r="S2573" s="29" t="s">
        <v>8135</v>
      </c>
      <c r="T2573" s="28">
        <v>1000</v>
      </c>
      <c r="U2573" s="29" t="s">
        <v>8242</v>
      </c>
      <c r="V2573" s="29" t="s">
        <v>59</v>
      </c>
      <c r="W2573" s="27">
        <v>20</v>
      </c>
      <c r="X2573" s="37" t="str">
        <f>HYPERLINK("https://www.alpinabook.ru/catalog/book-584989/","ссылка на книгу")</f>
        <v>ссылка на книгу</v>
      </c>
      <c r="Y2573" s="38" t="str">
        <f t="shared" si="497"/>
        <v/>
      </c>
      <c r="Z2573" s="29"/>
      <c r="AT2573" s="1">
        <f t="shared" si="492"/>
        <v>0</v>
      </c>
      <c r="AU2573" s="1">
        <f t="shared" si="493"/>
        <v>0</v>
      </c>
      <c r="AV2573" s="1">
        <f t="shared" si="494"/>
        <v>0</v>
      </c>
      <c r="AW2573" s="1">
        <f t="shared" si="495"/>
        <v>0</v>
      </c>
      <c r="AX2573" s="1">
        <f t="shared" si="496"/>
        <v>0</v>
      </c>
    </row>
    <row r="2574" spans="1:50" s="1" customFormat="1" ht="21.95" customHeight="1" outlineLevel="3" x14ac:dyDescent="0.2">
      <c r="A2574" s="26"/>
      <c r="B2574" s="28">
        <v>3490</v>
      </c>
      <c r="C2574" s="28">
        <v>3490</v>
      </c>
      <c r="D2574" s="29" t="s">
        <v>8523</v>
      </c>
      <c r="E2574" s="29" t="s">
        <v>8524</v>
      </c>
      <c r="F2574" s="29" t="s">
        <v>8525</v>
      </c>
      <c r="G2574" s="29" t="s">
        <v>8346</v>
      </c>
      <c r="H2574" s="29" t="s">
        <v>40</v>
      </c>
      <c r="I2574" s="27">
        <v>2017</v>
      </c>
      <c r="J2574" s="29" t="s">
        <v>8526</v>
      </c>
      <c r="K2574" s="27">
        <v>9785171024727</v>
      </c>
      <c r="L2574" s="29" t="s">
        <v>8527</v>
      </c>
      <c r="M2574" s="27">
        <v>96</v>
      </c>
      <c r="N2574" s="30">
        <v>0.16</v>
      </c>
      <c r="O2574" s="27">
        <v>146</v>
      </c>
      <c r="P2574" s="27">
        <v>217</v>
      </c>
      <c r="Q2574" s="27">
        <v>1</v>
      </c>
      <c r="R2574" s="29" t="s">
        <v>43</v>
      </c>
      <c r="S2574" s="29" t="s">
        <v>8135</v>
      </c>
      <c r="T2574" s="28">
        <v>6500</v>
      </c>
      <c r="U2574" s="29" t="s">
        <v>52</v>
      </c>
      <c r="V2574" s="29" t="s">
        <v>64</v>
      </c>
      <c r="W2574" s="27">
        <v>20</v>
      </c>
      <c r="X2574" s="37" t="str">
        <f>HYPERLINK("https://www.alpinabook.ru/catalog/book-584993/","ссылка на книгу")</f>
        <v>ссылка на книгу</v>
      </c>
      <c r="Y2574" s="38" t="str">
        <f t="shared" si="497"/>
        <v/>
      </c>
      <c r="Z2574" s="29"/>
      <c r="AT2574" s="1">
        <f t="shared" si="492"/>
        <v>0</v>
      </c>
      <c r="AU2574" s="1">
        <f t="shared" si="493"/>
        <v>0</v>
      </c>
      <c r="AV2574" s="1">
        <f t="shared" si="494"/>
        <v>0</v>
      </c>
      <c r="AW2574" s="1">
        <f t="shared" si="495"/>
        <v>0</v>
      </c>
      <c r="AX2574" s="1">
        <f t="shared" si="496"/>
        <v>0</v>
      </c>
    </row>
    <row r="2575" spans="1:50" s="1" customFormat="1" ht="24.95" customHeight="1" outlineLevel="3" x14ac:dyDescent="0.2">
      <c r="A2575" s="26"/>
      <c r="B2575" s="28">
        <v>5990</v>
      </c>
      <c r="C2575" s="28">
        <v>5990</v>
      </c>
      <c r="D2575" s="29" t="s">
        <v>8528</v>
      </c>
      <c r="E2575" s="29" t="s">
        <v>8529</v>
      </c>
      <c r="F2575" s="29" t="s">
        <v>8530</v>
      </c>
      <c r="G2575" s="29" t="s">
        <v>8232</v>
      </c>
      <c r="H2575" s="29" t="s">
        <v>40</v>
      </c>
      <c r="I2575" s="27">
        <v>2018</v>
      </c>
      <c r="J2575" s="29" t="s">
        <v>8531</v>
      </c>
      <c r="K2575" s="27">
        <v>9785040955664</v>
      </c>
      <c r="L2575" s="29" t="s">
        <v>8532</v>
      </c>
      <c r="M2575" s="27">
        <v>320</v>
      </c>
      <c r="N2575" s="30">
        <v>0.54</v>
      </c>
      <c r="O2575" s="27">
        <v>146</v>
      </c>
      <c r="P2575" s="27">
        <v>217</v>
      </c>
      <c r="Q2575" s="27">
        <v>1</v>
      </c>
      <c r="R2575" s="29" t="s">
        <v>43</v>
      </c>
      <c r="S2575" s="29" t="s">
        <v>8135</v>
      </c>
      <c r="T2575" s="28">
        <v>1000</v>
      </c>
      <c r="U2575" s="29" t="s">
        <v>52</v>
      </c>
      <c r="V2575" s="29" t="s">
        <v>64</v>
      </c>
      <c r="W2575" s="27">
        <v>20</v>
      </c>
      <c r="X2575" s="37" t="str">
        <f>HYPERLINK("https://www.alpinabook.ru/catalog/book-585001/","ссылка на книгу")</f>
        <v>ссылка на книгу</v>
      </c>
      <c r="Y2575" s="38" t="str">
        <f t="shared" si="497"/>
        <v/>
      </c>
      <c r="Z2575" s="29"/>
      <c r="AT2575" s="1">
        <f t="shared" si="492"/>
        <v>0</v>
      </c>
      <c r="AU2575" s="1">
        <f t="shared" si="493"/>
        <v>0</v>
      </c>
      <c r="AV2575" s="1">
        <f t="shared" si="494"/>
        <v>0</v>
      </c>
      <c r="AW2575" s="1">
        <f t="shared" si="495"/>
        <v>0</v>
      </c>
      <c r="AX2575" s="1">
        <f t="shared" si="496"/>
        <v>0</v>
      </c>
    </row>
    <row r="2576" spans="1:50" s="1" customFormat="1" ht="21.95" customHeight="1" outlineLevel="3" x14ac:dyDescent="0.2">
      <c r="A2576" s="26"/>
      <c r="B2576" s="28">
        <v>3490</v>
      </c>
      <c r="C2576" s="28">
        <v>3490</v>
      </c>
      <c r="D2576" s="29" t="s">
        <v>8533</v>
      </c>
      <c r="E2576" s="29" t="s">
        <v>8534</v>
      </c>
      <c r="F2576" s="29" t="s">
        <v>8535</v>
      </c>
      <c r="G2576" s="29" t="s">
        <v>8232</v>
      </c>
      <c r="H2576" s="29" t="s">
        <v>40</v>
      </c>
      <c r="I2576" s="27">
        <v>2018</v>
      </c>
      <c r="J2576" s="29" t="s">
        <v>8536</v>
      </c>
      <c r="K2576" s="27">
        <v>9785699966479</v>
      </c>
      <c r="L2576" s="29" t="s">
        <v>8537</v>
      </c>
      <c r="M2576" s="27">
        <v>544</v>
      </c>
      <c r="N2576" s="30">
        <v>0.92</v>
      </c>
      <c r="O2576" s="27">
        <v>146</v>
      </c>
      <c r="P2576" s="27">
        <v>217</v>
      </c>
      <c r="Q2576" s="27">
        <v>1</v>
      </c>
      <c r="R2576" s="29" t="s">
        <v>43</v>
      </c>
      <c r="S2576" s="29" t="s">
        <v>8135</v>
      </c>
      <c r="T2576" s="28">
        <v>6500</v>
      </c>
      <c r="U2576" s="29" t="s">
        <v>52</v>
      </c>
      <c r="V2576" s="29" t="s">
        <v>59</v>
      </c>
      <c r="W2576" s="27">
        <v>20</v>
      </c>
      <c r="X2576" s="37" t="str">
        <f>HYPERLINK("https://www.alpinabook.ru/catalog/book-585006/","ссылка на книгу")</f>
        <v>ссылка на книгу</v>
      </c>
      <c r="Y2576" s="38" t="str">
        <f t="shared" si="497"/>
        <v/>
      </c>
      <c r="Z2576" s="29"/>
      <c r="AT2576" s="1">
        <f t="shared" si="492"/>
        <v>0</v>
      </c>
      <c r="AU2576" s="1">
        <f t="shared" si="493"/>
        <v>0</v>
      </c>
      <c r="AV2576" s="1">
        <f t="shared" si="494"/>
        <v>0</v>
      </c>
      <c r="AW2576" s="1">
        <f t="shared" si="495"/>
        <v>0</v>
      </c>
      <c r="AX2576" s="1">
        <f t="shared" si="496"/>
        <v>0</v>
      </c>
    </row>
    <row r="2577" spans="1:50" s="1" customFormat="1" ht="21.95" customHeight="1" outlineLevel="3" x14ac:dyDescent="0.2">
      <c r="A2577" s="26"/>
      <c r="B2577" s="28">
        <v>3490</v>
      </c>
      <c r="C2577" s="28">
        <v>3490</v>
      </c>
      <c r="D2577" s="29" t="s">
        <v>8538</v>
      </c>
      <c r="E2577" s="29" t="s">
        <v>8539</v>
      </c>
      <c r="F2577" s="29" t="s">
        <v>8540</v>
      </c>
      <c r="G2577" s="29" t="s">
        <v>8346</v>
      </c>
      <c r="H2577" s="29" t="s">
        <v>40</v>
      </c>
      <c r="I2577" s="27">
        <v>2018</v>
      </c>
      <c r="J2577" s="29" t="s">
        <v>8541</v>
      </c>
      <c r="K2577" s="27">
        <v>9785170942121</v>
      </c>
      <c r="L2577" s="29" t="s">
        <v>8542</v>
      </c>
      <c r="M2577" s="27">
        <v>382</v>
      </c>
      <c r="N2577" s="30">
        <v>0.65</v>
      </c>
      <c r="O2577" s="27">
        <v>146</v>
      </c>
      <c r="P2577" s="27">
        <v>217</v>
      </c>
      <c r="Q2577" s="27">
        <v>1</v>
      </c>
      <c r="R2577" s="29" t="s">
        <v>43</v>
      </c>
      <c r="S2577" s="29" t="s">
        <v>8135</v>
      </c>
      <c r="T2577" s="28">
        <v>6500</v>
      </c>
      <c r="U2577" s="29" t="s">
        <v>52</v>
      </c>
      <c r="V2577" s="29" t="s">
        <v>64</v>
      </c>
      <c r="W2577" s="27">
        <v>20</v>
      </c>
      <c r="X2577" s="37" t="str">
        <f>HYPERLINK("https://www.alpinabook.ru/catalog/book-585017/","ссылка на книгу")</f>
        <v>ссылка на книгу</v>
      </c>
      <c r="Y2577" s="38" t="str">
        <f t="shared" si="497"/>
        <v/>
      </c>
      <c r="Z2577" s="29"/>
      <c r="AT2577" s="1">
        <f t="shared" si="492"/>
        <v>0</v>
      </c>
      <c r="AU2577" s="1">
        <f t="shared" si="493"/>
        <v>0</v>
      </c>
      <c r="AV2577" s="1">
        <f t="shared" si="494"/>
        <v>0</v>
      </c>
      <c r="AW2577" s="1">
        <f t="shared" si="495"/>
        <v>0</v>
      </c>
      <c r="AX2577" s="1">
        <f t="shared" si="496"/>
        <v>0</v>
      </c>
    </row>
    <row r="2578" spans="1:50" s="1" customFormat="1" ht="21.95" customHeight="1" outlineLevel="3" x14ac:dyDescent="0.2">
      <c r="A2578" s="26"/>
      <c r="B2578" s="28">
        <v>4490</v>
      </c>
      <c r="C2578" s="28">
        <v>4490</v>
      </c>
      <c r="D2578" s="29" t="s">
        <v>8543</v>
      </c>
      <c r="E2578" s="29" t="s">
        <v>8544</v>
      </c>
      <c r="F2578" s="29" t="s">
        <v>8545</v>
      </c>
      <c r="G2578" s="29" t="s">
        <v>8232</v>
      </c>
      <c r="H2578" s="29" t="s">
        <v>40</v>
      </c>
      <c r="I2578" s="27">
        <v>2019</v>
      </c>
      <c r="J2578" s="29" t="s">
        <v>8546</v>
      </c>
      <c r="K2578" s="27">
        <v>9785040963768</v>
      </c>
      <c r="L2578" s="29" t="s">
        <v>8547</v>
      </c>
      <c r="M2578" s="27">
        <v>224</v>
      </c>
      <c r="N2578" s="30">
        <v>0.38</v>
      </c>
      <c r="O2578" s="27">
        <v>146</v>
      </c>
      <c r="P2578" s="27">
        <v>217</v>
      </c>
      <c r="Q2578" s="27">
        <v>1</v>
      </c>
      <c r="R2578" s="29" t="s">
        <v>43</v>
      </c>
      <c r="S2578" s="29" t="s">
        <v>8135</v>
      </c>
      <c r="T2578" s="28">
        <v>1500</v>
      </c>
      <c r="U2578" s="29" t="s">
        <v>52</v>
      </c>
      <c r="V2578" s="29" t="s">
        <v>64</v>
      </c>
      <c r="W2578" s="27">
        <v>20</v>
      </c>
      <c r="X2578" s="37" t="str">
        <f>HYPERLINK("https://www.alpinabook.ru/catalog/book-585011/","ссылка на книгу")</f>
        <v>ссылка на книгу</v>
      </c>
      <c r="Y2578" s="38" t="str">
        <f t="shared" si="497"/>
        <v/>
      </c>
      <c r="Z2578" s="29"/>
      <c r="AT2578" s="1">
        <f t="shared" si="492"/>
        <v>0</v>
      </c>
      <c r="AU2578" s="1">
        <f t="shared" si="493"/>
        <v>0</v>
      </c>
      <c r="AV2578" s="1">
        <f t="shared" si="494"/>
        <v>0</v>
      </c>
      <c r="AW2578" s="1">
        <f t="shared" si="495"/>
        <v>0</v>
      </c>
      <c r="AX2578" s="1">
        <f t="shared" si="496"/>
        <v>0</v>
      </c>
    </row>
    <row r="2579" spans="1:50" s="1" customFormat="1" ht="21.95" customHeight="1" outlineLevel="3" x14ac:dyDescent="0.2">
      <c r="A2579" s="26"/>
      <c r="B2579" s="28">
        <v>6490</v>
      </c>
      <c r="C2579" s="28">
        <v>6490</v>
      </c>
      <c r="D2579" s="29" t="s">
        <v>8548</v>
      </c>
      <c r="E2579" s="29" t="s">
        <v>8192</v>
      </c>
      <c r="F2579" s="29" t="s">
        <v>8549</v>
      </c>
      <c r="G2579" s="29" t="s">
        <v>8194</v>
      </c>
      <c r="H2579" s="29" t="s">
        <v>40</v>
      </c>
      <c r="I2579" s="27">
        <v>2018</v>
      </c>
      <c r="J2579" s="29" t="s">
        <v>8550</v>
      </c>
      <c r="K2579" s="27">
        <v>9785001178927</v>
      </c>
      <c r="L2579" s="29" t="s">
        <v>8551</v>
      </c>
      <c r="M2579" s="27">
        <v>624</v>
      </c>
      <c r="N2579" s="30">
        <v>1.06</v>
      </c>
      <c r="O2579" s="27">
        <v>146</v>
      </c>
      <c r="P2579" s="27">
        <v>217</v>
      </c>
      <c r="Q2579" s="27">
        <v>1</v>
      </c>
      <c r="R2579" s="29" t="s">
        <v>43</v>
      </c>
      <c r="S2579" s="29" t="s">
        <v>8135</v>
      </c>
      <c r="T2579" s="28">
        <v>4521</v>
      </c>
      <c r="U2579" s="29" t="s">
        <v>52</v>
      </c>
      <c r="V2579" s="29" t="s">
        <v>64</v>
      </c>
      <c r="W2579" s="27">
        <v>20</v>
      </c>
      <c r="X2579" s="37" t="str">
        <f>HYPERLINK("https://www.alpinabook.ru/catalog/book-585025/","ссылка на книгу")</f>
        <v>ссылка на книгу</v>
      </c>
      <c r="Y2579" s="38" t="str">
        <f t="shared" si="497"/>
        <v/>
      </c>
      <c r="Z2579" s="29"/>
      <c r="AT2579" s="1">
        <f t="shared" si="492"/>
        <v>0</v>
      </c>
      <c r="AU2579" s="1">
        <f t="shared" si="493"/>
        <v>0</v>
      </c>
      <c r="AV2579" s="1">
        <f t="shared" si="494"/>
        <v>0</v>
      </c>
      <c r="AW2579" s="1">
        <f t="shared" si="495"/>
        <v>0</v>
      </c>
      <c r="AX2579" s="1">
        <f t="shared" si="496"/>
        <v>0</v>
      </c>
    </row>
    <row r="2580" spans="1:50" s="1" customFormat="1" ht="24.95" customHeight="1" outlineLevel="3" x14ac:dyDescent="0.2">
      <c r="A2580" s="26"/>
      <c r="B2580" s="28">
        <v>6990</v>
      </c>
      <c r="C2580" s="28">
        <v>6990</v>
      </c>
      <c r="D2580" s="29" t="s">
        <v>8552</v>
      </c>
      <c r="E2580" s="29" t="s">
        <v>8553</v>
      </c>
      <c r="F2580" s="29" t="s">
        <v>8554</v>
      </c>
      <c r="G2580" s="29" t="s">
        <v>8163</v>
      </c>
      <c r="H2580" s="29" t="s">
        <v>40</v>
      </c>
      <c r="I2580" s="27">
        <v>2018</v>
      </c>
      <c r="J2580" s="29" t="s">
        <v>8555</v>
      </c>
      <c r="K2580" s="27">
        <v>9785969304079</v>
      </c>
      <c r="L2580" s="29" t="s">
        <v>8556</v>
      </c>
      <c r="M2580" s="27">
        <v>936</v>
      </c>
      <c r="N2580" s="30">
        <v>1.04</v>
      </c>
      <c r="O2580" s="27">
        <v>146</v>
      </c>
      <c r="P2580" s="27">
        <v>217</v>
      </c>
      <c r="Q2580" s="27">
        <v>1</v>
      </c>
      <c r="R2580" s="29" t="s">
        <v>43</v>
      </c>
      <c r="S2580" s="29" t="s">
        <v>8135</v>
      </c>
      <c r="T2580" s="28">
        <v>2000</v>
      </c>
      <c r="U2580" s="29" t="s">
        <v>52</v>
      </c>
      <c r="V2580" s="29" t="s">
        <v>64</v>
      </c>
      <c r="W2580" s="27">
        <v>20</v>
      </c>
      <c r="X2580" s="37" t="str">
        <f>HYPERLINK("https://www.alpinabook.ru/catalog/book-585041/","ссылка на книгу")</f>
        <v>ссылка на книгу</v>
      </c>
      <c r="Y2580" s="38" t="str">
        <f t="shared" si="497"/>
        <v/>
      </c>
      <c r="Z2580" s="29"/>
      <c r="AT2580" s="1">
        <f t="shared" si="492"/>
        <v>0</v>
      </c>
      <c r="AU2580" s="1">
        <f t="shared" si="493"/>
        <v>0</v>
      </c>
      <c r="AV2580" s="1">
        <f t="shared" si="494"/>
        <v>0</v>
      </c>
      <c r="AW2580" s="1">
        <f t="shared" si="495"/>
        <v>0</v>
      </c>
      <c r="AX2580" s="1">
        <f t="shared" si="496"/>
        <v>0</v>
      </c>
    </row>
    <row r="2581" spans="1:50" s="1" customFormat="1" ht="24.95" customHeight="1" outlineLevel="3" x14ac:dyDescent="0.2">
      <c r="A2581" s="26"/>
      <c r="B2581" s="28">
        <v>5490</v>
      </c>
      <c r="C2581" s="28">
        <v>5490</v>
      </c>
      <c r="D2581" s="29" t="s">
        <v>8557</v>
      </c>
      <c r="E2581" s="29" t="s">
        <v>8558</v>
      </c>
      <c r="F2581" s="29" t="s">
        <v>8559</v>
      </c>
      <c r="G2581" s="29" t="s">
        <v>8163</v>
      </c>
      <c r="H2581" s="29" t="s">
        <v>40</v>
      </c>
      <c r="I2581" s="27">
        <v>2019</v>
      </c>
      <c r="J2581" s="29" t="s">
        <v>8560</v>
      </c>
      <c r="K2581" s="27">
        <v>9785604001059</v>
      </c>
      <c r="L2581" s="29" t="s">
        <v>8561</v>
      </c>
      <c r="M2581" s="27">
        <v>192</v>
      </c>
      <c r="N2581" s="30">
        <v>0.33</v>
      </c>
      <c r="O2581" s="27">
        <v>146</v>
      </c>
      <c r="P2581" s="27">
        <v>217</v>
      </c>
      <c r="Q2581" s="27">
        <v>1</v>
      </c>
      <c r="R2581" s="29" t="s">
        <v>43</v>
      </c>
      <c r="S2581" s="29" t="s">
        <v>8135</v>
      </c>
      <c r="T2581" s="28">
        <v>4500</v>
      </c>
      <c r="U2581" s="29" t="s">
        <v>52</v>
      </c>
      <c r="V2581" s="29" t="s">
        <v>64</v>
      </c>
      <c r="W2581" s="27">
        <v>20</v>
      </c>
      <c r="X2581" s="37" t="str">
        <f>HYPERLINK("https://www.alpinabook.ru/catalog/book-585049/","ссылка на книгу")</f>
        <v>ссылка на книгу</v>
      </c>
      <c r="Y2581" s="38" t="str">
        <f t="shared" si="497"/>
        <v/>
      </c>
      <c r="Z2581" s="29"/>
      <c r="AT2581" s="1">
        <f t="shared" si="492"/>
        <v>0</v>
      </c>
      <c r="AU2581" s="1">
        <f t="shared" si="493"/>
        <v>0</v>
      </c>
      <c r="AV2581" s="1">
        <f t="shared" si="494"/>
        <v>0</v>
      </c>
      <c r="AW2581" s="1">
        <f t="shared" si="495"/>
        <v>0</v>
      </c>
      <c r="AX2581" s="1">
        <f t="shared" si="496"/>
        <v>0</v>
      </c>
    </row>
    <row r="2582" spans="1:50" s="1" customFormat="1" ht="21.95" customHeight="1" outlineLevel="3" x14ac:dyDescent="0.2">
      <c r="A2582" s="26"/>
      <c r="B2582" s="28">
        <v>3490</v>
      </c>
      <c r="C2582" s="28">
        <v>3490</v>
      </c>
      <c r="D2582" s="29" t="s">
        <v>8562</v>
      </c>
      <c r="E2582" s="29" t="s">
        <v>8563</v>
      </c>
      <c r="F2582" s="29" t="s">
        <v>8564</v>
      </c>
      <c r="G2582" s="29" t="s">
        <v>8565</v>
      </c>
      <c r="H2582" s="29" t="s">
        <v>40</v>
      </c>
      <c r="I2582" s="27">
        <v>2019</v>
      </c>
      <c r="J2582" s="29" t="s">
        <v>8566</v>
      </c>
      <c r="K2582" s="27">
        <v>9785001311034</v>
      </c>
      <c r="L2582" s="29" t="s">
        <v>8567</v>
      </c>
      <c r="M2582" s="27">
        <v>416</v>
      </c>
      <c r="N2582" s="30">
        <v>0.7</v>
      </c>
      <c r="O2582" s="27">
        <v>116</v>
      </c>
      <c r="P2582" s="27">
        <v>217</v>
      </c>
      <c r="Q2582" s="27">
        <v>1</v>
      </c>
      <c r="R2582" s="29" t="s">
        <v>43</v>
      </c>
      <c r="S2582" s="29" t="s">
        <v>8135</v>
      </c>
      <c r="T2582" s="28">
        <v>4520</v>
      </c>
      <c r="U2582" s="29" t="s">
        <v>52</v>
      </c>
      <c r="V2582" s="29" t="s">
        <v>64</v>
      </c>
      <c r="W2582" s="27">
        <v>20</v>
      </c>
      <c r="X2582" s="37" t="str">
        <f>HYPERLINK("https://alpinabook.ru/catalog/book-21-urok-dlya-xxi-veka-sberbank/","ссылка на книгу")</f>
        <v>ссылка на книгу</v>
      </c>
      <c r="Y2582" s="38" t="str">
        <f t="shared" si="497"/>
        <v/>
      </c>
      <c r="Z2582" s="29"/>
      <c r="AT2582" s="1">
        <f t="shared" si="492"/>
        <v>0</v>
      </c>
      <c r="AU2582" s="1">
        <f t="shared" si="493"/>
        <v>0</v>
      </c>
      <c r="AV2582" s="1">
        <f t="shared" si="494"/>
        <v>0</v>
      </c>
      <c r="AW2582" s="1">
        <f t="shared" si="495"/>
        <v>0</v>
      </c>
      <c r="AX2582" s="1">
        <f t="shared" si="496"/>
        <v>0</v>
      </c>
    </row>
    <row r="2583" spans="1:50" s="1" customFormat="1" ht="21.95" customHeight="1" outlineLevel="3" x14ac:dyDescent="0.2">
      <c r="A2583" s="26"/>
      <c r="B2583" s="28">
        <v>3990</v>
      </c>
      <c r="C2583" s="28">
        <v>3990</v>
      </c>
      <c r="D2583" s="29" t="s">
        <v>8568</v>
      </c>
      <c r="E2583" s="29" t="s">
        <v>8569</v>
      </c>
      <c r="F2583" s="29" t="s">
        <v>8570</v>
      </c>
      <c r="G2583" s="29" t="s">
        <v>8232</v>
      </c>
      <c r="H2583" s="29" t="s">
        <v>40</v>
      </c>
      <c r="I2583" s="27">
        <v>2019</v>
      </c>
      <c r="J2583" s="29" t="s">
        <v>8571</v>
      </c>
      <c r="K2583" s="27">
        <v>9785040991228</v>
      </c>
      <c r="L2583" s="29" t="s">
        <v>8572</v>
      </c>
      <c r="M2583" s="27">
        <v>112</v>
      </c>
      <c r="N2583" s="30">
        <v>0.2</v>
      </c>
      <c r="O2583" s="27">
        <v>146</v>
      </c>
      <c r="P2583" s="27">
        <v>217</v>
      </c>
      <c r="Q2583" s="27">
        <v>1</v>
      </c>
      <c r="R2583" s="29" t="s">
        <v>43</v>
      </c>
      <c r="S2583" s="29" t="s">
        <v>8135</v>
      </c>
      <c r="T2583" s="28">
        <v>4500</v>
      </c>
      <c r="U2583" s="29" t="s">
        <v>52</v>
      </c>
      <c r="V2583" s="29" t="s">
        <v>59</v>
      </c>
      <c r="W2583" s="27">
        <v>20</v>
      </c>
      <c r="X2583" s="37" t="str">
        <f>HYPERLINK("https://alpinabook.ru/catalog/book-kak-sokhranit-zdravyy-um-sberbank/","ссылка на книгу")</f>
        <v>ссылка на книгу</v>
      </c>
      <c r="Y2583" s="38" t="str">
        <f t="shared" si="497"/>
        <v/>
      </c>
      <c r="Z2583" s="29"/>
      <c r="AT2583" s="1">
        <f t="shared" si="492"/>
        <v>0</v>
      </c>
      <c r="AU2583" s="1">
        <f t="shared" si="493"/>
        <v>0</v>
      </c>
      <c r="AV2583" s="1">
        <f t="shared" si="494"/>
        <v>0</v>
      </c>
      <c r="AW2583" s="1">
        <f t="shared" si="495"/>
        <v>0</v>
      </c>
      <c r="AX2583" s="1">
        <f t="shared" si="496"/>
        <v>0</v>
      </c>
    </row>
    <row r="2584" spans="1:50" s="1" customFormat="1" ht="21.95" customHeight="1" outlineLevel="3" x14ac:dyDescent="0.2">
      <c r="A2584" s="26"/>
      <c r="B2584" s="28">
        <v>5490</v>
      </c>
      <c r="C2584" s="28">
        <v>5490</v>
      </c>
      <c r="D2584" s="29" t="s">
        <v>8573</v>
      </c>
      <c r="E2584" s="29" t="s">
        <v>8574</v>
      </c>
      <c r="F2584" s="29" t="s">
        <v>8575</v>
      </c>
      <c r="G2584" s="29" t="s">
        <v>56</v>
      </c>
      <c r="H2584" s="29" t="s">
        <v>40</v>
      </c>
      <c r="I2584" s="27">
        <v>2019</v>
      </c>
      <c r="J2584" s="29" t="s">
        <v>8576</v>
      </c>
      <c r="K2584" s="27">
        <v>9785961418507</v>
      </c>
      <c r="L2584" s="29" t="s">
        <v>8577</v>
      </c>
      <c r="M2584" s="27">
        <v>414</v>
      </c>
      <c r="N2584" s="30">
        <v>0.7</v>
      </c>
      <c r="O2584" s="27">
        <v>146</v>
      </c>
      <c r="P2584" s="27">
        <v>217</v>
      </c>
      <c r="Q2584" s="27">
        <v>1</v>
      </c>
      <c r="R2584" s="29" t="s">
        <v>43</v>
      </c>
      <c r="S2584" s="29" t="s">
        <v>8135</v>
      </c>
      <c r="T2584" s="28">
        <v>4500</v>
      </c>
      <c r="U2584" s="29" t="s">
        <v>8242</v>
      </c>
      <c r="V2584" s="29" t="s">
        <v>64</v>
      </c>
      <c r="W2584" s="27">
        <v>20</v>
      </c>
      <c r="X2584" s="37" t="str">
        <f>HYPERLINK("https://alpinabook.ru/catalog/book-agile-otsenka-i-planirovanie-bs/","ссылка на книгу")</f>
        <v>ссылка на книгу</v>
      </c>
      <c r="Y2584" s="38" t="str">
        <f t="shared" si="497"/>
        <v/>
      </c>
      <c r="Z2584" s="29"/>
      <c r="AT2584" s="1">
        <f t="shared" si="492"/>
        <v>0</v>
      </c>
      <c r="AU2584" s="1">
        <f t="shared" si="493"/>
        <v>0</v>
      </c>
      <c r="AV2584" s="1">
        <f t="shared" si="494"/>
        <v>0</v>
      </c>
      <c r="AW2584" s="1">
        <f t="shared" si="495"/>
        <v>0</v>
      </c>
      <c r="AX2584" s="1">
        <f t="shared" si="496"/>
        <v>0</v>
      </c>
    </row>
    <row r="2585" spans="1:50" s="1" customFormat="1" ht="24.95" customHeight="1" outlineLevel="3" x14ac:dyDescent="0.2">
      <c r="A2585" s="26"/>
      <c r="B2585" s="28">
        <v>4990</v>
      </c>
      <c r="C2585" s="28">
        <v>4990</v>
      </c>
      <c r="D2585" s="29" t="s">
        <v>8578</v>
      </c>
      <c r="E2585" s="29" t="s">
        <v>8579</v>
      </c>
      <c r="F2585" s="29" t="s">
        <v>8580</v>
      </c>
      <c r="G2585" s="29" t="s">
        <v>56</v>
      </c>
      <c r="H2585" s="29" t="s">
        <v>40</v>
      </c>
      <c r="I2585" s="27">
        <v>2019</v>
      </c>
      <c r="J2585" s="29" t="s">
        <v>8581</v>
      </c>
      <c r="K2585" s="27">
        <v>9785961430578</v>
      </c>
      <c r="L2585" s="29" t="s">
        <v>8582</v>
      </c>
      <c r="M2585" s="27">
        <v>293</v>
      </c>
      <c r="N2585" s="30">
        <v>0.5</v>
      </c>
      <c r="O2585" s="27">
        <v>146</v>
      </c>
      <c r="P2585" s="27">
        <v>217</v>
      </c>
      <c r="Q2585" s="27">
        <v>1</v>
      </c>
      <c r="R2585" s="29" t="s">
        <v>43</v>
      </c>
      <c r="S2585" s="29" t="s">
        <v>8135</v>
      </c>
      <c r="T2585" s="28">
        <v>4500</v>
      </c>
      <c r="U2585" s="29" t="s">
        <v>8242</v>
      </c>
      <c r="V2585" s="29" t="s">
        <v>64</v>
      </c>
      <c r="W2585" s="27">
        <v>20</v>
      </c>
      <c r="X2585" s="37" t="str">
        <f>HYPERLINK("https://alpinabook.ru/catalog/book-platforma-bs/","ссылка на книгу")</f>
        <v>ссылка на книгу</v>
      </c>
      <c r="Y2585" s="38" t="str">
        <f t="shared" si="497"/>
        <v/>
      </c>
      <c r="Z2585" s="29"/>
      <c r="AT2585" s="1">
        <f t="shared" si="492"/>
        <v>0</v>
      </c>
      <c r="AU2585" s="1">
        <f t="shared" si="493"/>
        <v>0</v>
      </c>
      <c r="AV2585" s="1">
        <f t="shared" si="494"/>
        <v>0</v>
      </c>
      <c r="AW2585" s="1">
        <f t="shared" si="495"/>
        <v>0</v>
      </c>
      <c r="AX2585" s="1">
        <f t="shared" si="496"/>
        <v>0</v>
      </c>
    </row>
    <row r="2586" spans="1:50" s="1" customFormat="1" ht="24.95" customHeight="1" outlineLevel="3" x14ac:dyDescent="0.2">
      <c r="A2586" s="26"/>
      <c r="B2586" s="28">
        <v>4490</v>
      </c>
      <c r="C2586" s="28">
        <v>4490</v>
      </c>
      <c r="D2586" s="29" t="s">
        <v>8583</v>
      </c>
      <c r="E2586" s="29" t="s">
        <v>8584</v>
      </c>
      <c r="F2586" s="29" t="s">
        <v>8585</v>
      </c>
      <c r="G2586" s="29" t="s">
        <v>8586</v>
      </c>
      <c r="H2586" s="29" t="s">
        <v>8587</v>
      </c>
      <c r="I2586" s="27">
        <v>2019</v>
      </c>
      <c r="J2586" s="29" t="s">
        <v>8588</v>
      </c>
      <c r="K2586" s="27">
        <v>9785604288283</v>
      </c>
      <c r="L2586" s="29" t="s">
        <v>8589</v>
      </c>
      <c r="M2586" s="27">
        <v>316</v>
      </c>
      <c r="N2586" s="30">
        <v>0.54</v>
      </c>
      <c r="O2586" s="27">
        <v>146</v>
      </c>
      <c r="P2586" s="27">
        <v>217</v>
      </c>
      <c r="Q2586" s="27">
        <v>1</v>
      </c>
      <c r="R2586" s="29" t="s">
        <v>43</v>
      </c>
      <c r="S2586" s="29" t="s">
        <v>8135</v>
      </c>
      <c r="T2586" s="28">
        <v>4500</v>
      </c>
      <c r="U2586" s="29" t="s">
        <v>8242</v>
      </c>
      <c r="V2586" s="29" t="s">
        <v>64</v>
      </c>
      <c r="W2586" s="27">
        <v>20</v>
      </c>
      <c r="X2586" s="37" t="str">
        <f>HYPERLINK("https://alpinabook.ru/catalog/book-tsifrovaya-transformatsiya-kitaya-bs/","ссылка на книгу")</f>
        <v>ссылка на книгу</v>
      </c>
      <c r="Y2586" s="38" t="str">
        <f t="shared" si="497"/>
        <v/>
      </c>
      <c r="Z2586" s="29"/>
      <c r="AT2586" s="1">
        <f t="shared" si="492"/>
        <v>0</v>
      </c>
      <c r="AU2586" s="1">
        <f t="shared" si="493"/>
        <v>0</v>
      </c>
      <c r="AV2586" s="1">
        <f t="shared" si="494"/>
        <v>0</v>
      </c>
      <c r="AW2586" s="1">
        <f t="shared" si="495"/>
        <v>0</v>
      </c>
      <c r="AX2586" s="1">
        <f t="shared" si="496"/>
        <v>0</v>
      </c>
    </row>
    <row r="2587" spans="1:50" s="1" customFormat="1" ht="24.95" customHeight="1" outlineLevel="3" x14ac:dyDescent="0.2">
      <c r="A2587" s="26"/>
      <c r="B2587" s="28">
        <v>5990</v>
      </c>
      <c r="C2587" s="28">
        <v>5990</v>
      </c>
      <c r="D2587" s="29" t="s">
        <v>8590</v>
      </c>
      <c r="E2587" s="29" t="s">
        <v>8591</v>
      </c>
      <c r="F2587" s="29" t="s">
        <v>8592</v>
      </c>
      <c r="G2587" s="29" t="s">
        <v>56</v>
      </c>
      <c r="H2587" s="29" t="s">
        <v>40</v>
      </c>
      <c r="I2587" s="27">
        <v>2019</v>
      </c>
      <c r="J2587" s="29" t="s">
        <v>8593</v>
      </c>
      <c r="K2587" s="27">
        <v>9785961430530</v>
      </c>
      <c r="L2587" s="29" t="s">
        <v>8594</v>
      </c>
      <c r="M2587" s="27">
        <v>218</v>
      </c>
      <c r="N2587" s="30">
        <v>0.37</v>
      </c>
      <c r="O2587" s="27">
        <v>146</v>
      </c>
      <c r="P2587" s="27">
        <v>217</v>
      </c>
      <c r="Q2587" s="27">
        <v>1</v>
      </c>
      <c r="R2587" s="29" t="s">
        <v>43</v>
      </c>
      <c r="S2587" s="29" t="s">
        <v>8135</v>
      </c>
      <c r="T2587" s="28">
        <v>4500</v>
      </c>
      <c r="U2587" s="29" t="s">
        <v>8242</v>
      </c>
      <c r="V2587" s="29" t="s">
        <v>64</v>
      </c>
      <c r="W2587" s="27">
        <v>20</v>
      </c>
      <c r="X2587" s="37" t="str">
        <f>HYPERLINK("https://alpinabook.ru/catalog/book-tsifrovaya-transformatsiya-biznesa-bs/","ссылка на книгу")</f>
        <v>ссылка на книгу</v>
      </c>
      <c r="Y2587" s="38" t="str">
        <f t="shared" si="497"/>
        <v/>
      </c>
      <c r="Z2587" s="29"/>
      <c r="AT2587" s="1">
        <f t="shared" si="492"/>
        <v>0</v>
      </c>
      <c r="AU2587" s="1">
        <f t="shared" si="493"/>
        <v>0</v>
      </c>
      <c r="AV2587" s="1">
        <f t="shared" si="494"/>
        <v>0</v>
      </c>
      <c r="AW2587" s="1">
        <f t="shared" si="495"/>
        <v>0</v>
      </c>
      <c r="AX2587" s="1">
        <f t="shared" si="496"/>
        <v>0</v>
      </c>
    </row>
    <row r="2588" spans="1:50" s="1" customFormat="1" ht="21.95" customHeight="1" outlineLevel="3" x14ac:dyDescent="0.2">
      <c r="A2588" s="26"/>
      <c r="B2588" s="28">
        <v>4490</v>
      </c>
      <c r="C2588" s="28">
        <v>4490</v>
      </c>
      <c r="D2588" s="29" t="s">
        <v>8595</v>
      </c>
      <c r="E2588" s="29" t="s">
        <v>8569</v>
      </c>
      <c r="F2588" s="29" t="s">
        <v>8596</v>
      </c>
      <c r="G2588" s="29" t="s">
        <v>8232</v>
      </c>
      <c r="H2588" s="29" t="s">
        <v>40</v>
      </c>
      <c r="I2588" s="27">
        <v>2020</v>
      </c>
      <c r="J2588" s="29" t="s">
        <v>8597</v>
      </c>
      <c r="K2588" s="27">
        <v>9785041112127</v>
      </c>
      <c r="L2588" s="29" t="s">
        <v>8598</v>
      </c>
      <c r="M2588" s="27">
        <v>224</v>
      </c>
      <c r="N2588" s="30">
        <v>0.38</v>
      </c>
      <c r="O2588" s="27">
        <v>146</v>
      </c>
      <c r="P2588" s="27">
        <v>217</v>
      </c>
      <c r="Q2588" s="27">
        <v>1</v>
      </c>
      <c r="R2588" s="29" t="s">
        <v>43</v>
      </c>
      <c r="S2588" s="29" t="s">
        <v>8135</v>
      </c>
      <c r="T2588" s="28">
        <v>3500</v>
      </c>
      <c r="U2588" s="29" t="s">
        <v>8242</v>
      </c>
      <c r="V2588" s="29" t="s">
        <v>64</v>
      </c>
      <c r="W2588" s="27">
        <v>20</v>
      </c>
      <c r="X2588" s="37" t="str">
        <f>HYPERLINK("https://alpinabook.ru/catalog/book-kak-zhal-chto-moi-roditeli-ob-etom-ne-znali/","ссылка на книгу")</f>
        <v>ссылка на книгу</v>
      </c>
      <c r="Y2588" s="38" t="str">
        <f t="shared" si="497"/>
        <v/>
      </c>
      <c r="Z2588" s="29"/>
      <c r="AT2588" s="1">
        <f t="shared" si="492"/>
        <v>0</v>
      </c>
      <c r="AU2588" s="1">
        <f t="shared" si="493"/>
        <v>0</v>
      </c>
      <c r="AV2588" s="1">
        <f t="shared" si="494"/>
        <v>0</v>
      </c>
      <c r="AW2588" s="1">
        <f t="shared" si="495"/>
        <v>0</v>
      </c>
      <c r="AX2588" s="1">
        <f t="shared" si="496"/>
        <v>0</v>
      </c>
    </row>
    <row r="2589" spans="1:50" s="1" customFormat="1" ht="21.95" customHeight="1" outlineLevel="3" x14ac:dyDescent="0.2">
      <c r="A2589" s="26"/>
      <c r="B2589" s="28">
        <v>4490</v>
      </c>
      <c r="C2589" s="28">
        <v>4490</v>
      </c>
      <c r="D2589" s="29" t="s">
        <v>8599</v>
      </c>
      <c r="E2589" s="29" t="s">
        <v>8600</v>
      </c>
      <c r="F2589" s="29" t="s">
        <v>8601</v>
      </c>
      <c r="G2589" s="29" t="s">
        <v>8194</v>
      </c>
      <c r="H2589" s="29" t="s">
        <v>40</v>
      </c>
      <c r="I2589" s="27">
        <v>2020</v>
      </c>
      <c r="J2589" s="29" t="s">
        <v>8602</v>
      </c>
      <c r="K2589" s="27">
        <v>9785001691785</v>
      </c>
      <c r="L2589" s="29" t="s">
        <v>8603</v>
      </c>
      <c r="M2589" s="27">
        <v>224</v>
      </c>
      <c r="N2589" s="30">
        <v>0.38</v>
      </c>
      <c r="O2589" s="27">
        <v>146</v>
      </c>
      <c r="P2589" s="27">
        <v>217</v>
      </c>
      <c r="Q2589" s="27">
        <v>1</v>
      </c>
      <c r="R2589" s="29" t="s">
        <v>43</v>
      </c>
      <c r="S2589" s="29" t="s">
        <v>8135</v>
      </c>
      <c r="T2589" s="28">
        <v>2521</v>
      </c>
      <c r="U2589" s="29" t="s">
        <v>8242</v>
      </c>
      <c r="V2589" s="29" t="s">
        <v>64</v>
      </c>
      <c r="W2589" s="27">
        <v>20</v>
      </c>
      <c r="X2589" s="37" t="str">
        <f>HYPERLINK("https://alpinabook.ru/catalog/book-bezgranichnyy-razum-bs/","ссылка на книгу")</f>
        <v>ссылка на книгу</v>
      </c>
      <c r="Y2589" s="38" t="str">
        <f t="shared" si="497"/>
        <v/>
      </c>
      <c r="Z2589" s="29"/>
      <c r="AT2589" s="1">
        <f t="shared" ref="AT2589:AT2602" si="498">IF($A2589&lt;&gt;0,1,0)</f>
        <v>0</v>
      </c>
      <c r="AU2589" s="1">
        <f t="shared" ref="AU2589:AU2602" si="499">$A2589*$B2589</f>
        <v>0</v>
      </c>
      <c r="AV2589" s="1">
        <f t="shared" ref="AV2589:AV2602" si="500">$A2589*$N2589</f>
        <v>0</v>
      </c>
      <c r="AW2589" s="1">
        <f t="shared" ref="AW2589:AW2602" si="501">IF($Q2589=0,0,INT($A2589/$Q2589))</f>
        <v>0</v>
      </c>
      <c r="AX2589" s="1">
        <f t="shared" ref="AX2589:AX2602" si="502">$A2589-$AW2589*$Q2589</f>
        <v>0</v>
      </c>
    </row>
    <row r="2590" spans="1:50" s="1" customFormat="1" ht="24.95" customHeight="1" outlineLevel="3" x14ac:dyDescent="0.2">
      <c r="A2590" s="26"/>
      <c r="B2590" s="28">
        <v>4990</v>
      </c>
      <c r="C2590" s="28">
        <v>4990</v>
      </c>
      <c r="D2590" s="29" t="s">
        <v>8604</v>
      </c>
      <c r="E2590" s="29" t="s">
        <v>8605</v>
      </c>
      <c r="F2590" s="29" t="s">
        <v>8606</v>
      </c>
      <c r="G2590" s="29" t="s">
        <v>8586</v>
      </c>
      <c r="H2590" s="29" t="s">
        <v>8179</v>
      </c>
      <c r="I2590" s="27">
        <v>2020</v>
      </c>
      <c r="J2590" s="29" t="s">
        <v>8607</v>
      </c>
      <c r="K2590" s="27">
        <v>9785907274884</v>
      </c>
      <c r="L2590" s="29" t="s">
        <v>8608</v>
      </c>
      <c r="M2590" s="27">
        <v>168</v>
      </c>
      <c r="N2590" s="30">
        <v>0.28000000000000003</v>
      </c>
      <c r="O2590" s="27">
        <v>146</v>
      </c>
      <c r="P2590" s="27">
        <v>217</v>
      </c>
      <c r="Q2590" s="27">
        <v>1</v>
      </c>
      <c r="R2590" s="29" t="s">
        <v>43</v>
      </c>
      <c r="S2590" s="29" t="s">
        <v>8135</v>
      </c>
      <c r="T2590" s="28">
        <v>3500</v>
      </c>
      <c r="U2590" s="29" t="s">
        <v>52</v>
      </c>
      <c r="V2590" s="29" t="s">
        <v>59</v>
      </c>
      <c r="W2590" s="27">
        <v>20</v>
      </c>
      <c r="X2590" s="37" t="str">
        <f>HYPERLINK("https://alpinabook.ru/catalog/book-sila-v-spokoystvii-sber/","ссылка на книгу")</f>
        <v>ссылка на книгу</v>
      </c>
      <c r="Y2590" s="38" t="str">
        <f t="shared" ref="Y2590:Y2602" si="503">HYPERLINK("","")</f>
        <v/>
      </c>
      <c r="Z2590" s="29"/>
      <c r="AT2590" s="1">
        <f t="shared" si="498"/>
        <v>0</v>
      </c>
      <c r="AU2590" s="1">
        <f t="shared" si="499"/>
        <v>0</v>
      </c>
      <c r="AV2590" s="1">
        <f t="shared" si="500"/>
        <v>0</v>
      </c>
      <c r="AW2590" s="1">
        <f t="shared" si="501"/>
        <v>0</v>
      </c>
      <c r="AX2590" s="1">
        <f t="shared" si="502"/>
        <v>0</v>
      </c>
    </row>
    <row r="2591" spans="1:50" s="1" customFormat="1" ht="24.95" customHeight="1" outlineLevel="3" x14ac:dyDescent="0.2">
      <c r="A2591" s="26"/>
      <c r="B2591" s="28">
        <v>4490</v>
      </c>
      <c r="C2591" s="28">
        <v>4490</v>
      </c>
      <c r="D2591" s="29" t="s">
        <v>8609</v>
      </c>
      <c r="E2591" s="29" t="s">
        <v>4266</v>
      </c>
      <c r="F2591" s="29" t="s">
        <v>8610</v>
      </c>
      <c r="G2591" s="29" t="s">
        <v>8611</v>
      </c>
      <c r="H2591" s="29" t="s">
        <v>8179</v>
      </c>
      <c r="I2591" s="27">
        <v>2021</v>
      </c>
      <c r="J2591" s="29" t="s">
        <v>8612</v>
      </c>
      <c r="K2591" s="27">
        <v>9785907394674</v>
      </c>
      <c r="L2591" s="29" t="s">
        <v>8613</v>
      </c>
      <c r="M2591" s="27">
        <v>184</v>
      </c>
      <c r="N2591" s="30">
        <v>0.33</v>
      </c>
      <c r="O2591" s="27">
        <v>146</v>
      </c>
      <c r="P2591" s="27">
        <v>216</v>
      </c>
      <c r="Q2591" s="27">
        <v>1</v>
      </c>
      <c r="R2591" s="29" t="s">
        <v>43</v>
      </c>
      <c r="S2591" s="29" t="s">
        <v>8135</v>
      </c>
      <c r="T2591" s="28">
        <v>3500</v>
      </c>
      <c r="U2591" s="29" t="s">
        <v>52</v>
      </c>
      <c r="V2591" s="29" t="s">
        <v>59</v>
      </c>
      <c r="W2591" s="27">
        <v>20</v>
      </c>
      <c r="X2591" s="37" t="str">
        <f>HYPERLINK("kiberbezopasnost-sber","ссылка на книгу")</f>
        <v>ссылка на книгу</v>
      </c>
      <c r="Y2591" s="38" t="str">
        <f t="shared" si="503"/>
        <v/>
      </c>
      <c r="Z2591" s="29"/>
      <c r="AT2591" s="1">
        <f t="shared" si="498"/>
        <v>0</v>
      </c>
      <c r="AU2591" s="1">
        <f t="shared" si="499"/>
        <v>0</v>
      </c>
      <c r="AV2591" s="1">
        <f t="shared" si="500"/>
        <v>0</v>
      </c>
      <c r="AW2591" s="1">
        <f t="shared" si="501"/>
        <v>0</v>
      </c>
      <c r="AX2591" s="1">
        <f t="shared" si="502"/>
        <v>0</v>
      </c>
    </row>
    <row r="2592" spans="1:50" s="1" customFormat="1" ht="24.95" customHeight="1" outlineLevel="3" x14ac:dyDescent="0.2">
      <c r="A2592" s="26"/>
      <c r="B2592" s="28">
        <v>4990</v>
      </c>
      <c r="C2592" s="28">
        <v>4990</v>
      </c>
      <c r="D2592" s="29" t="s">
        <v>8614</v>
      </c>
      <c r="E2592" s="29" t="s">
        <v>8615</v>
      </c>
      <c r="F2592" s="29" t="s">
        <v>8616</v>
      </c>
      <c r="G2592" s="29" t="s">
        <v>8617</v>
      </c>
      <c r="H2592" s="29"/>
      <c r="I2592" s="27">
        <v>2021</v>
      </c>
      <c r="J2592" s="29" t="s">
        <v>8618</v>
      </c>
      <c r="K2592" s="27">
        <v>9785041591090</v>
      </c>
      <c r="L2592" s="29" t="s">
        <v>8619</v>
      </c>
      <c r="M2592" s="27">
        <v>224</v>
      </c>
      <c r="N2592" s="30">
        <v>0.38</v>
      </c>
      <c r="O2592" s="27">
        <v>146</v>
      </c>
      <c r="P2592" s="27">
        <v>217</v>
      </c>
      <c r="Q2592" s="27">
        <v>1</v>
      </c>
      <c r="R2592" s="29" t="s">
        <v>43</v>
      </c>
      <c r="S2592" s="29" t="s">
        <v>8135</v>
      </c>
      <c r="T2592" s="28">
        <v>3500</v>
      </c>
      <c r="U2592" s="29" t="s">
        <v>8242</v>
      </c>
      <c r="V2592" s="29" t="s">
        <v>45</v>
      </c>
      <c r="W2592" s="27">
        <v>20</v>
      </c>
      <c r="X2592" s="37" t="str">
        <f>HYPERLINK("ot-nosoroga-k-edinorogu-sber","ссылка на книгу")</f>
        <v>ссылка на книгу</v>
      </c>
      <c r="Y2592" s="38" t="str">
        <f t="shared" si="503"/>
        <v/>
      </c>
      <c r="Z2592" s="29"/>
      <c r="AT2592" s="1">
        <f t="shared" si="498"/>
        <v>0</v>
      </c>
      <c r="AU2592" s="1">
        <f t="shared" si="499"/>
        <v>0</v>
      </c>
      <c r="AV2592" s="1">
        <f t="shared" si="500"/>
        <v>0</v>
      </c>
      <c r="AW2592" s="1">
        <f t="shared" si="501"/>
        <v>0</v>
      </c>
      <c r="AX2592" s="1">
        <f t="shared" si="502"/>
        <v>0</v>
      </c>
    </row>
    <row r="2593" spans="1:50" s="1" customFormat="1" ht="24.95" customHeight="1" outlineLevel="3" x14ac:dyDescent="0.2">
      <c r="A2593" s="26"/>
      <c r="B2593" s="28">
        <v>5490</v>
      </c>
      <c r="C2593" s="28">
        <v>5490</v>
      </c>
      <c r="D2593" s="29" t="s">
        <v>8620</v>
      </c>
      <c r="E2593" s="29" t="s">
        <v>8621</v>
      </c>
      <c r="F2593" s="29" t="s">
        <v>8622</v>
      </c>
      <c r="G2593" s="29" t="s">
        <v>8623</v>
      </c>
      <c r="H2593" s="29"/>
      <c r="I2593" s="27">
        <v>2021</v>
      </c>
      <c r="J2593" s="29" t="s">
        <v>8624</v>
      </c>
      <c r="K2593" s="27">
        <v>9785604627228</v>
      </c>
      <c r="L2593" s="29" t="s">
        <v>8625</v>
      </c>
      <c r="M2593" s="27">
        <v>512</v>
      </c>
      <c r="N2593" s="30">
        <v>0.75</v>
      </c>
      <c r="O2593" s="27">
        <v>146</v>
      </c>
      <c r="P2593" s="27">
        <v>217</v>
      </c>
      <c r="Q2593" s="27">
        <v>1</v>
      </c>
      <c r="R2593" s="29" t="s">
        <v>43</v>
      </c>
      <c r="S2593" s="29" t="s">
        <v>8135</v>
      </c>
      <c r="T2593" s="28">
        <v>3500</v>
      </c>
      <c r="U2593" s="29" t="s">
        <v>52</v>
      </c>
      <c r="V2593" s="29" t="s">
        <v>45</v>
      </c>
      <c r="W2593" s="27">
        <v>20</v>
      </c>
      <c r="X2593" s="37" t="str">
        <f>HYPERLINK("https://alpinabook.ru/catalog/book-kak-izmenit-sebya-i-mir-sber/","ссылка на книгу")</f>
        <v>ссылка на книгу</v>
      </c>
      <c r="Y2593" s="38" t="str">
        <f t="shared" si="503"/>
        <v/>
      </c>
      <c r="Z2593" s="29"/>
      <c r="AT2593" s="1">
        <f t="shared" si="498"/>
        <v>0</v>
      </c>
      <c r="AU2593" s="1">
        <f t="shared" si="499"/>
        <v>0</v>
      </c>
      <c r="AV2593" s="1">
        <f t="shared" si="500"/>
        <v>0</v>
      </c>
      <c r="AW2593" s="1">
        <f t="shared" si="501"/>
        <v>0</v>
      </c>
      <c r="AX2593" s="1">
        <f t="shared" si="502"/>
        <v>0</v>
      </c>
    </row>
    <row r="2594" spans="1:50" s="1" customFormat="1" ht="24.95" customHeight="1" outlineLevel="3" x14ac:dyDescent="0.2">
      <c r="A2594" s="26"/>
      <c r="B2594" s="28">
        <v>3990</v>
      </c>
      <c r="C2594" s="28">
        <v>3990</v>
      </c>
      <c r="D2594" s="29" t="s">
        <v>8626</v>
      </c>
      <c r="E2594" s="29" t="s">
        <v>8627</v>
      </c>
      <c r="F2594" s="29" t="s">
        <v>8628</v>
      </c>
      <c r="G2594" s="29" t="s">
        <v>8232</v>
      </c>
      <c r="H2594" s="29" t="s">
        <v>40</v>
      </c>
      <c r="I2594" s="27">
        <v>2019</v>
      </c>
      <c r="J2594" s="29" t="s">
        <v>8629</v>
      </c>
      <c r="K2594" s="27">
        <v>9785041085940</v>
      </c>
      <c r="L2594" s="29" t="s">
        <v>8630</v>
      </c>
      <c r="M2594" s="27">
        <v>448</v>
      </c>
      <c r="N2594" s="30">
        <v>0.94</v>
      </c>
      <c r="O2594" s="27">
        <v>168</v>
      </c>
      <c r="P2594" s="27">
        <v>241</v>
      </c>
      <c r="Q2594" s="27">
        <v>1</v>
      </c>
      <c r="R2594" s="29" t="s">
        <v>94</v>
      </c>
      <c r="S2594" s="29" t="s">
        <v>8631</v>
      </c>
      <c r="T2594" s="28">
        <v>10000</v>
      </c>
      <c r="U2594" s="29" t="s">
        <v>52</v>
      </c>
      <c r="V2594" s="29" t="s">
        <v>59</v>
      </c>
      <c r="W2594" s="27">
        <v>20</v>
      </c>
      <c r="X2594" s="37" t="str">
        <f>HYPERLINK("https://www.alpinabook.ru/catalog/book-675875/","ссылка на книгу")</f>
        <v>ссылка на книгу</v>
      </c>
      <c r="Y2594" s="38" t="str">
        <f t="shared" si="503"/>
        <v/>
      </c>
      <c r="Z2594" s="29"/>
      <c r="AT2594" s="1">
        <f t="shared" si="498"/>
        <v>0</v>
      </c>
      <c r="AU2594" s="1">
        <f t="shared" si="499"/>
        <v>0</v>
      </c>
      <c r="AV2594" s="1">
        <f t="shared" si="500"/>
        <v>0</v>
      </c>
      <c r="AW2594" s="1">
        <f t="shared" si="501"/>
        <v>0</v>
      </c>
      <c r="AX2594" s="1">
        <f t="shared" si="502"/>
        <v>0</v>
      </c>
    </row>
    <row r="2595" spans="1:50" s="1" customFormat="1" ht="24.95" customHeight="1" outlineLevel="3" x14ac:dyDescent="0.2">
      <c r="A2595" s="26"/>
      <c r="B2595" s="28">
        <v>3990</v>
      </c>
      <c r="C2595" s="28">
        <v>3990</v>
      </c>
      <c r="D2595" s="29" t="s">
        <v>8632</v>
      </c>
      <c r="E2595" s="29" t="s">
        <v>8633</v>
      </c>
      <c r="F2595" s="29" t="s">
        <v>8634</v>
      </c>
      <c r="G2595" s="29" t="s">
        <v>8586</v>
      </c>
      <c r="H2595" s="29" t="s">
        <v>40</v>
      </c>
      <c r="I2595" s="27">
        <v>2019</v>
      </c>
      <c r="J2595" s="29" t="s">
        <v>8635</v>
      </c>
      <c r="K2595" s="27">
        <v>9785907274303</v>
      </c>
      <c r="L2595" s="29" t="s">
        <v>8636</v>
      </c>
      <c r="M2595" s="27">
        <v>256</v>
      </c>
      <c r="N2595" s="30">
        <v>0.52</v>
      </c>
      <c r="O2595" s="27">
        <v>168</v>
      </c>
      <c r="P2595" s="27">
        <v>241</v>
      </c>
      <c r="Q2595" s="27">
        <v>1</v>
      </c>
      <c r="R2595" s="29" t="s">
        <v>94</v>
      </c>
      <c r="S2595" s="29" t="s">
        <v>8631</v>
      </c>
      <c r="T2595" s="28">
        <v>10002</v>
      </c>
      <c r="U2595" s="29" t="s">
        <v>52</v>
      </c>
      <c r="V2595" s="29" t="s">
        <v>45</v>
      </c>
      <c r="W2595" s="27">
        <v>20</v>
      </c>
      <c r="X2595" s="37" t="str">
        <f>HYPERLINK("https://www.alpinabook.ru/catalog/book-675595/","ссылка на книгу")</f>
        <v>ссылка на книгу</v>
      </c>
      <c r="Y2595" s="38" t="str">
        <f t="shared" si="503"/>
        <v/>
      </c>
      <c r="Z2595" s="29"/>
      <c r="AT2595" s="1">
        <f t="shared" si="498"/>
        <v>0</v>
      </c>
      <c r="AU2595" s="1">
        <f t="shared" si="499"/>
        <v>0</v>
      </c>
      <c r="AV2595" s="1">
        <f t="shared" si="500"/>
        <v>0</v>
      </c>
      <c r="AW2595" s="1">
        <f t="shared" si="501"/>
        <v>0</v>
      </c>
      <c r="AX2595" s="1">
        <f t="shared" si="502"/>
        <v>0</v>
      </c>
    </row>
    <row r="2596" spans="1:50" s="1" customFormat="1" ht="24.95" customHeight="1" outlineLevel="3" x14ac:dyDescent="0.2">
      <c r="A2596" s="26"/>
      <c r="B2596" s="28">
        <v>3990</v>
      </c>
      <c r="C2596" s="28">
        <v>3990</v>
      </c>
      <c r="D2596" s="29" t="s">
        <v>8637</v>
      </c>
      <c r="E2596" s="29" t="s">
        <v>3026</v>
      </c>
      <c r="F2596" s="29" t="s">
        <v>8638</v>
      </c>
      <c r="G2596" s="29" t="s">
        <v>8586</v>
      </c>
      <c r="H2596" s="29" t="s">
        <v>40</v>
      </c>
      <c r="I2596" s="27">
        <v>2021</v>
      </c>
      <c r="J2596" s="29" t="s">
        <v>8639</v>
      </c>
      <c r="K2596" s="27">
        <v>9785907470088</v>
      </c>
      <c r="L2596" s="29" t="s">
        <v>8640</v>
      </c>
      <c r="M2596" s="27">
        <v>440</v>
      </c>
      <c r="N2596" s="30">
        <v>0.82</v>
      </c>
      <c r="O2596" s="27">
        <v>168</v>
      </c>
      <c r="P2596" s="27">
        <v>241</v>
      </c>
      <c r="Q2596" s="27">
        <v>1</v>
      </c>
      <c r="R2596" s="29" t="s">
        <v>94</v>
      </c>
      <c r="S2596" s="29" t="s">
        <v>8631</v>
      </c>
      <c r="T2596" s="28">
        <v>5005</v>
      </c>
      <c r="U2596" s="29" t="s">
        <v>52</v>
      </c>
      <c r="V2596" s="29" t="s">
        <v>59</v>
      </c>
      <c r="W2596" s="27">
        <v>20</v>
      </c>
      <c r="X2596" s="37" t="str">
        <f>HYPERLINK("https://alpinabook.ru/catalog/book-iskusstvennyy-intellekt-v-meditsine-sber/","ссылка на книгу")</f>
        <v>ссылка на книгу</v>
      </c>
      <c r="Y2596" s="38" t="str">
        <f t="shared" si="503"/>
        <v/>
      </c>
      <c r="Z2596" s="29"/>
      <c r="AT2596" s="1">
        <f t="shared" si="498"/>
        <v>0</v>
      </c>
      <c r="AU2596" s="1">
        <f t="shared" si="499"/>
        <v>0</v>
      </c>
      <c r="AV2596" s="1">
        <f t="shared" si="500"/>
        <v>0</v>
      </c>
      <c r="AW2596" s="1">
        <f t="shared" si="501"/>
        <v>0</v>
      </c>
      <c r="AX2596" s="1">
        <f t="shared" si="502"/>
        <v>0</v>
      </c>
    </row>
    <row r="2597" spans="1:50" s="1" customFormat="1" ht="24.95" customHeight="1" outlineLevel="3" x14ac:dyDescent="0.2">
      <c r="A2597" s="26"/>
      <c r="B2597" s="28">
        <v>5990</v>
      </c>
      <c r="C2597" s="28">
        <v>5990</v>
      </c>
      <c r="D2597" s="29" t="s">
        <v>8641</v>
      </c>
      <c r="E2597" s="29" t="s">
        <v>2991</v>
      </c>
      <c r="F2597" s="29" t="s">
        <v>8642</v>
      </c>
      <c r="G2597" s="29" t="s">
        <v>8586</v>
      </c>
      <c r="H2597" s="29" t="s">
        <v>40</v>
      </c>
      <c r="I2597" s="27">
        <v>2020</v>
      </c>
      <c r="J2597" s="29" t="s">
        <v>8643</v>
      </c>
      <c r="K2597" s="27">
        <v>9785907394254</v>
      </c>
      <c r="L2597" s="29" t="s">
        <v>8644</v>
      </c>
      <c r="M2597" s="27">
        <v>432</v>
      </c>
      <c r="N2597" s="30">
        <v>0.8</v>
      </c>
      <c r="O2597" s="27">
        <v>168</v>
      </c>
      <c r="P2597" s="27">
        <v>241</v>
      </c>
      <c r="Q2597" s="27">
        <v>1</v>
      </c>
      <c r="R2597" s="29" t="s">
        <v>94</v>
      </c>
      <c r="S2597" s="29" t="s">
        <v>8631</v>
      </c>
      <c r="T2597" s="28">
        <v>5021</v>
      </c>
      <c r="U2597" s="29" t="s">
        <v>52</v>
      </c>
      <c r="V2597" s="29" t="s">
        <v>59</v>
      </c>
      <c r="W2597" s="27">
        <v>20</v>
      </c>
      <c r="X2597" s="37" t="str">
        <f>HYPERLINK("https://alpinabook.ru/catalog/book-iskusstvennyy-intellekt-i-ekonomika/","ссылка на книгу")</f>
        <v>ссылка на книгу</v>
      </c>
      <c r="Y2597" s="38" t="str">
        <f t="shared" si="503"/>
        <v/>
      </c>
      <c r="Z2597" s="29"/>
      <c r="AT2597" s="1">
        <f t="shared" si="498"/>
        <v>0</v>
      </c>
      <c r="AU2597" s="1">
        <f t="shared" si="499"/>
        <v>0</v>
      </c>
      <c r="AV2597" s="1">
        <f t="shared" si="500"/>
        <v>0</v>
      </c>
      <c r="AW2597" s="1">
        <f t="shared" si="501"/>
        <v>0</v>
      </c>
      <c r="AX2597" s="1">
        <f t="shared" si="502"/>
        <v>0</v>
      </c>
    </row>
    <row r="2598" spans="1:50" s="1" customFormat="1" ht="24.95" customHeight="1" outlineLevel="3" x14ac:dyDescent="0.2">
      <c r="A2598" s="26"/>
      <c r="B2598" s="28">
        <v>5990</v>
      </c>
      <c r="C2598" s="28">
        <v>5990</v>
      </c>
      <c r="D2598" s="29" t="s">
        <v>8645</v>
      </c>
      <c r="E2598" s="29" t="s">
        <v>8646</v>
      </c>
      <c r="F2598" s="29" t="s">
        <v>8647</v>
      </c>
      <c r="G2598" s="29" t="s">
        <v>8194</v>
      </c>
      <c r="H2598" s="29" t="s">
        <v>40</v>
      </c>
      <c r="I2598" s="27">
        <v>2019</v>
      </c>
      <c r="J2598" s="29" t="s">
        <v>8648</v>
      </c>
      <c r="K2598" s="27">
        <v>9785001465614</v>
      </c>
      <c r="L2598" s="29" t="s">
        <v>8649</v>
      </c>
      <c r="M2598" s="27">
        <v>240</v>
      </c>
      <c r="N2598" s="30">
        <v>0.5</v>
      </c>
      <c r="O2598" s="27">
        <v>168</v>
      </c>
      <c r="P2598" s="27">
        <v>241</v>
      </c>
      <c r="Q2598" s="27">
        <v>1</v>
      </c>
      <c r="R2598" s="29" t="s">
        <v>94</v>
      </c>
      <c r="S2598" s="29" t="s">
        <v>8631</v>
      </c>
      <c r="T2598" s="28">
        <v>10021</v>
      </c>
      <c r="U2598" s="29" t="s">
        <v>52</v>
      </c>
      <c r="V2598" s="29" t="s">
        <v>45</v>
      </c>
      <c r="W2598" s="27">
        <v>20</v>
      </c>
      <c r="X2598" s="37" t="str">
        <f>HYPERLINK("https://www.alpinabook.ru/catalog/book-675583/","ссылка на книгу")</f>
        <v>ссылка на книгу</v>
      </c>
      <c r="Y2598" s="38" t="str">
        <f t="shared" si="503"/>
        <v/>
      </c>
      <c r="Z2598" s="29"/>
      <c r="AT2598" s="1">
        <f t="shared" si="498"/>
        <v>0</v>
      </c>
      <c r="AU2598" s="1">
        <f t="shared" si="499"/>
        <v>0</v>
      </c>
      <c r="AV2598" s="1">
        <f t="shared" si="500"/>
        <v>0</v>
      </c>
      <c r="AW2598" s="1">
        <f t="shared" si="501"/>
        <v>0</v>
      </c>
      <c r="AX2598" s="1">
        <f t="shared" si="502"/>
        <v>0</v>
      </c>
    </row>
    <row r="2599" spans="1:50" s="1" customFormat="1" ht="24.95" customHeight="1" outlineLevel="3" x14ac:dyDescent="0.2">
      <c r="A2599" s="26"/>
      <c r="B2599" s="28">
        <v>5990</v>
      </c>
      <c r="C2599" s="28">
        <v>5990</v>
      </c>
      <c r="D2599" s="29" t="s">
        <v>8650</v>
      </c>
      <c r="E2599" s="29" t="s">
        <v>8651</v>
      </c>
      <c r="F2599" s="29" t="s">
        <v>8652</v>
      </c>
      <c r="G2599" s="29" t="s">
        <v>8586</v>
      </c>
      <c r="H2599" s="29" t="s">
        <v>8179</v>
      </c>
      <c r="I2599" s="27">
        <v>2021</v>
      </c>
      <c r="J2599" s="29" t="s">
        <v>8653</v>
      </c>
      <c r="K2599" s="27">
        <v>9785907394230</v>
      </c>
      <c r="L2599" s="29" t="s">
        <v>8654</v>
      </c>
      <c r="M2599" s="27">
        <v>328</v>
      </c>
      <c r="N2599" s="30">
        <v>0.65</v>
      </c>
      <c r="O2599" s="27">
        <v>168</v>
      </c>
      <c r="P2599" s="27">
        <v>241</v>
      </c>
      <c r="Q2599" s="27">
        <v>1</v>
      </c>
      <c r="R2599" s="29" t="s">
        <v>94</v>
      </c>
      <c r="S2599" s="29" t="s">
        <v>8631</v>
      </c>
      <c r="T2599" s="28">
        <v>5021</v>
      </c>
      <c r="U2599" s="29" t="s">
        <v>52</v>
      </c>
      <c r="V2599" s="29" t="s">
        <v>59</v>
      </c>
      <c r="W2599" s="27">
        <v>20</v>
      </c>
      <c r="X2599" s="37" t="str">
        <f>HYPERLINK("https://alpinabook.ru/catalog/book-iskusstvennyy-intellekt-perezagruzka-market/","ссылка на книгу")</f>
        <v>ссылка на книгу</v>
      </c>
      <c r="Y2599" s="38" t="str">
        <f t="shared" si="503"/>
        <v/>
      </c>
      <c r="Z2599" s="29"/>
      <c r="AT2599" s="1">
        <f t="shared" si="498"/>
        <v>0</v>
      </c>
      <c r="AU2599" s="1">
        <f t="shared" si="499"/>
        <v>0</v>
      </c>
      <c r="AV2599" s="1">
        <f t="shared" si="500"/>
        <v>0</v>
      </c>
      <c r="AW2599" s="1">
        <f t="shared" si="501"/>
        <v>0</v>
      </c>
      <c r="AX2599" s="1">
        <f t="shared" si="502"/>
        <v>0</v>
      </c>
    </row>
    <row r="2600" spans="1:50" s="1" customFormat="1" ht="24.95" customHeight="1" outlineLevel="3" x14ac:dyDescent="0.2">
      <c r="A2600" s="26"/>
      <c r="B2600" s="28">
        <v>5990</v>
      </c>
      <c r="C2600" s="28">
        <v>5990</v>
      </c>
      <c r="D2600" s="29" t="s">
        <v>8655</v>
      </c>
      <c r="E2600" s="29" t="s">
        <v>8656</v>
      </c>
      <c r="F2600" s="29" t="s">
        <v>8657</v>
      </c>
      <c r="G2600" s="29" t="s">
        <v>8586</v>
      </c>
      <c r="H2600" s="29" t="s">
        <v>434</v>
      </c>
      <c r="I2600" s="27">
        <v>2020</v>
      </c>
      <c r="J2600" s="29" t="s">
        <v>8658</v>
      </c>
      <c r="K2600" s="27">
        <v>9785907394292</v>
      </c>
      <c r="L2600" s="29" t="s">
        <v>8659</v>
      </c>
      <c r="M2600" s="27">
        <v>348</v>
      </c>
      <c r="N2600" s="30">
        <v>0.73</v>
      </c>
      <c r="O2600" s="27">
        <v>168</v>
      </c>
      <c r="P2600" s="27">
        <v>241</v>
      </c>
      <c r="Q2600" s="27">
        <v>1</v>
      </c>
      <c r="R2600" s="29" t="s">
        <v>94</v>
      </c>
      <c r="S2600" s="29" t="s">
        <v>8631</v>
      </c>
      <c r="T2600" s="28">
        <v>5000</v>
      </c>
      <c r="U2600" s="29" t="s">
        <v>52</v>
      </c>
      <c r="V2600" s="29" t="s">
        <v>59</v>
      </c>
      <c r="W2600" s="27">
        <v>20</v>
      </c>
      <c r="X2600" s="37" t="str">
        <f>HYPERLINK("https://alpinabook.ru/catalog/book-kak-uchitsya-mashina-sber-ii/","ссылка на книгу")</f>
        <v>ссылка на книгу</v>
      </c>
      <c r="Y2600" s="38" t="str">
        <f t="shared" si="503"/>
        <v/>
      </c>
      <c r="Z2600" s="29"/>
      <c r="AT2600" s="1">
        <f t="shared" si="498"/>
        <v>0</v>
      </c>
      <c r="AU2600" s="1">
        <f t="shared" si="499"/>
        <v>0</v>
      </c>
      <c r="AV2600" s="1">
        <f t="shared" si="500"/>
        <v>0</v>
      </c>
      <c r="AW2600" s="1">
        <f t="shared" si="501"/>
        <v>0</v>
      </c>
      <c r="AX2600" s="1">
        <f t="shared" si="502"/>
        <v>0</v>
      </c>
    </row>
    <row r="2601" spans="1:50" s="1" customFormat="1" ht="24.95" customHeight="1" outlineLevel="3" x14ac:dyDescent="0.2">
      <c r="A2601" s="26"/>
      <c r="B2601" s="28">
        <v>5990</v>
      </c>
      <c r="C2601" s="28">
        <v>5990</v>
      </c>
      <c r="D2601" s="29" t="s">
        <v>8660</v>
      </c>
      <c r="E2601" s="29" t="s">
        <v>8661</v>
      </c>
      <c r="F2601" s="29" t="s">
        <v>8662</v>
      </c>
      <c r="G2601" s="29" t="s">
        <v>8194</v>
      </c>
      <c r="H2601" s="29" t="s">
        <v>40</v>
      </c>
      <c r="I2601" s="27">
        <v>2019</v>
      </c>
      <c r="J2601" s="29" t="s">
        <v>8663</v>
      </c>
      <c r="K2601" s="27">
        <v>9785001465607</v>
      </c>
      <c r="L2601" s="29" t="s">
        <v>8664</v>
      </c>
      <c r="M2601" s="27">
        <v>368</v>
      </c>
      <c r="N2601" s="30">
        <v>0.77</v>
      </c>
      <c r="O2601" s="27">
        <v>168</v>
      </c>
      <c r="P2601" s="27">
        <v>241</v>
      </c>
      <c r="Q2601" s="27">
        <v>1</v>
      </c>
      <c r="R2601" s="29" t="s">
        <v>94</v>
      </c>
      <c r="S2601" s="29" t="s">
        <v>8631</v>
      </c>
      <c r="T2601" s="28">
        <v>10671</v>
      </c>
      <c r="U2601" s="29" t="s">
        <v>52</v>
      </c>
      <c r="V2601" s="29" t="s">
        <v>45</v>
      </c>
      <c r="W2601" s="27">
        <v>20</v>
      </c>
      <c r="X2601" s="37" t="str">
        <f>HYPERLINK("https://www.alpinabook.ru/catalog/book-675617/","ссылка на книгу")</f>
        <v>ссылка на книгу</v>
      </c>
      <c r="Y2601" s="38" t="str">
        <f t="shared" si="503"/>
        <v/>
      </c>
      <c r="Z2601" s="29"/>
      <c r="AT2601" s="1">
        <f t="shared" si="498"/>
        <v>0</v>
      </c>
      <c r="AU2601" s="1">
        <f t="shared" si="499"/>
        <v>0</v>
      </c>
      <c r="AV2601" s="1">
        <f t="shared" si="500"/>
        <v>0</v>
      </c>
      <c r="AW2601" s="1">
        <f t="shared" si="501"/>
        <v>0</v>
      </c>
      <c r="AX2601" s="1">
        <f t="shared" si="502"/>
        <v>0</v>
      </c>
    </row>
    <row r="2602" spans="1:50" s="1" customFormat="1" ht="24.95" customHeight="1" outlineLevel="3" x14ac:dyDescent="0.2">
      <c r="A2602" s="11"/>
      <c r="B2602" s="12">
        <v>680</v>
      </c>
      <c r="C2602" s="12">
        <v>680</v>
      </c>
      <c r="D2602" s="13" t="s">
        <v>8665</v>
      </c>
      <c r="E2602" s="13" t="s">
        <v>8666</v>
      </c>
      <c r="F2602" s="13" t="s">
        <v>8667</v>
      </c>
      <c r="G2602" s="13" t="s">
        <v>8668</v>
      </c>
      <c r="H2602" s="13"/>
      <c r="I2602" s="12">
        <v>2020</v>
      </c>
      <c r="J2602" s="13" t="s">
        <v>8669</v>
      </c>
      <c r="K2602" s="12">
        <v>9785604627204</v>
      </c>
      <c r="L2602" s="13" t="s">
        <v>8670</v>
      </c>
      <c r="M2602" s="12">
        <v>304</v>
      </c>
      <c r="N2602" s="14">
        <v>0.8</v>
      </c>
      <c r="O2602" s="12">
        <v>146</v>
      </c>
      <c r="P2602" s="12">
        <v>255</v>
      </c>
      <c r="Q2602" s="12">
        <v>5</v>
      </c>
      <c r="R2602" s="13" t="s">
        <v>300</v>
      </c>
      <c r="S2602" s="13" t="s">
        <v>8135</v>
      </c>
      <c r="T2602" s="15">
        <v>1000</v>
      </c>
      <c r="U2602" s="13" t="s">
        <v>44</v>
      </c>
      <c r="V2602" s="13" t="s">
        <v>59</v>
      </c>
      <c r="W2602" s="12">
        <v>20</v>
      </c>
      <c r="X2602" s="33" t="str">
        <f>HYPERLINK("https://alpinabook.ru/catalog/book-slovar-spravochnik-korporativnoe-obuchenie/","ссылка на книгу")</f>
        <v>ссылка на книгу</v>
      </c>
      <c r="Y2602" s="34" t="str">
        <f t="shared" si="503"/>
        <v/>
      </c>
      <c r="Z2602" s="13"/>
      <c r="AT2602" s="1">
        <f t="shared" si="498"/>
        <v>0</v>
      </c>
      <c r="AU2602" s="1">
        <f t="shared" si="499"/>
        <v>0</v>
      </c>
      <c r="AV2602" s="1">
        <f t="shared" si="500"/>
        <v>0</v>
      </c>
      <c r="AW2602" s="1">
        <f t="shared" si="501"/>
        <v>0</v>
      </c>
      <c r="AX2602" s="1">
        <f t="shared" si="502"/>
        <v>0</v>
      </c>
    </row>
    <row r="2603" spans="1:50" ht="15" customHeight="1" outlineLevel="1" x14ac:dyDescent="0.2">
      <c r="A2603" s="39" t="s">
        <v>8671</v>
      </c>
      <c r="B2603" s="39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19"/>
    </row>
    <row r="2604" spans="1:50" ht="11.1" customHeight="1" outlineLevel="2" x14ac:dyDescent="0.2">
      <c r="A2604" s="40" t="s">
        <v>8672</v>
      </c>
      <c r="B2604" s="40"/>
      <c r="C2604" s="40"/>
      <c r="D2604" s="40"/>
      <c r="E2604" s="40"/>
      <c r="F2604" s="40"/>
      <c r="G2604" s="40"/>
      <c r="H2604" s="40"/>
      <c r="I2604" s="40"/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20"/>
    </row>
    <row r="2605" spans="1:50" s="1" customFormat="1" ht="21.95" customHeight="1" outlineLevel="3" x14ac:dyDescent="0.2">
      <c r="A2605" s="21"/>
      <c r="B2605" s="25">
        <v>1410</v>
      </c>
      <c r="C2605" s="25">
        <v>1410</v>
      </c>
      <c r="D2605" s="22">
        <v>22942</v>
      </c>
      <c r="E2605" s="23" t="s">
        <v>8673</v>
      </c>
      <c r="F2605" s="23" t="s">
        <v>8674</v>
      </c>
      <c r="G2605" s="23" t="s">
        <v>8675</v>
      </c>
      <c r="H2605" s="23" t="s">
        <v>8676</v>
      </c>
      <c r="I2605" s="22">
        <v>2022</v>
      </c>
      <c r="J2605" s="23" t="s">
        <v>8677</v>
      </c>
      <c r="K2605" s="22">
        <v>9785961471885</v>
      </c>
      <c r="L2605" s="23" t="s">
        <v>8678</v>
      </c>
      <c r="M2605" s="22">
        <v>277</v>
      </c>
      <c r="N2605" s="24">
        <v>0.54</v>
      </c>
      <c r="O2605" s="22">
        <v>146</v>
      </c>
      <c r="P2605" s="22">
        <v>223</v>
      </c>
      <c r="Q2605" s="22">
        <v>12</v>
      </c>
      <c r="R2605" s="23" t="s">
        <v>43</v>
      </c>
      <c r="S2605" s="23"/>
      <c r="T2605" s="25">
        <v>1000</v>
      </c>
      <c r="U2605" s="23" t="s">
        <v>52</v>
      </c>
      <c r="V2605" s="23" t="s">
        <v>45</v>
      </c>
      <c r="W2605" s="22">
        <v>20</v>
      </c>
      <c r="X2605" s="35" t="str">
        <f>HYPERLINK("https://www.alpinabook.ru/catalog/book-diving-into-the-red-ocean","ссылка на книгу")</f>
        <v>ссылка на книгу</v>
      </c>
      <c r="Y2605" s="36" t="str">
        <f>HYPERLINK("","")</f>
        <v/>
      </c>
      <c r="Z2605" s="23"/>
      <c r="AT2605" s="1">
        <f>IF($A2605&lt;&gt;0,1,0)</f>
        <v>0</v>
      </c>
      <c r="AU2605" s="1">
        <f>$A2605*$B2605</f>
        <v>0</v>
      </c>
      <c r="AV2605" s="1">
        <f>$A2605*$N2605</f>
        <v>0</v>
      </c>
      <c r="AW2605" s="1">
        <f>IF($Q2605=0,0,INT($A2605/$Q2605))</f>
        <v>0</v>
      </c>
      <c r="AX2605" s="1">
        <f>$A2605-$AW2605*$Q2605</f>
        <v>0</v>
      </c>
    </row>
    <row r="2606" spans="1:50" s="1" customFormat="1" ht="21.95" customHeight="1" outlineLevel="3" x14ac:dyDescent="0.2">
      <c r="A2606" s="21"/>
      <c r="B2606" s="25">
        <v>1410</v>
      </c>
      <c r="C2606" s="25">
        <v>1410</v>
      </c>
      <c r="D2606" s="22">
        <v>22333</v>
      </c>
      <c r="E2606" s="23" t="s">
        <v>8679</v>
      </c>
      <c r="F2606" s="23" t="s">
        <v>8680</v>
      </c>
      <c r="G2606" s="23" t="s">
        <v>8675</v>
      </c>
      <c r="H2606" s="23" t="s">
        <v>8676</v>
      </c>
      <c r="I2606" s="22">
        <v>2022</v>
      </c>
      <c r="J2606" s="23" t="s">
        <v>8681</v>
      </c>
      <c r="K2606" s="22">
        <v>9785961472011</v>
      </c>
      <c r="L2606" s="23" t="s">
        <v>8682</v>
      </c>
      <c r="M2606" s="22">
        <v>288</v>
      </c>
      <c r="N2606" s="24">
        <v>0.7</v>
      </c>
      <c r="O2606" s="22">
        <v>183</v>
      </c>
      <c r="P2606" s="22">
        <v>260</v>
      </c>
      <c r="Q2606" s="22">
        <v>5</v>
      </c>
      <c r="R2606" s="23" t="s">
        <v>94</v>
      </c>
      <c r="S2606" s="23"/>
      <c r="T2606" s="25">
        <v>1000</v>
      </c>
      <c r="U2606" s="23" t="s">
        <v>52</v>
      </c>
      <c r="V2606" s="23" t="s">
        <v>89</v>
      </c>
      <c r="W2606" s="22">
        <v>20</v>
      </c>
      <c r="X2606" s="35" t="str">
        <f>HYPERLINK("https://www.alpinabook.ru/catalog/book-if-these-bodies-could-talk","ссылка на книгу")</f>
        <v>ссылка на книгу</v>
      </c>
      <c r="Y2606" s="36" t="str">
        <f>HYPERLINK("","")</f>
        <v/>
      </c>
      <c r="Z2606" s="23"/>
      <c r="AT2606" s="1">
        <f>IF($A2606&lt;&gt;0,1,0)</f>
        <v>0</v>
      </c>
      <c r="AU2606" s="1">
        <f>$A2606*$B2606</f>
        <v>0</v>
      </c>
      <c r="AV2606" s="1">
        <f>$A2606*$N2606</f>
        <v>0</v>
      </c>
      <c r="AW2606" s="1">
        <f>IF($Q2606=0,0,INT($A2606/$Q2606))</f>
        <v>0</v>
      </c>
      <c r="AX2606" s="1">
        <f>$A2606-$AW2606*$Q2606</f>
        <v>0</v>
      </c>
    </row>
    <row r="2607" spans="1:50" ht="15" customHeight="1" outlineLevel="1" x14ac:dyDescent="0.2">
      <c r="A2607" s="39" t="s">
        <v>8683</v>
      </c>
      <c r="B2607" s="39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19"/>
    </row>
    <row r="2608" spans="1:50" ht="11.1" customHeight="1" outlineLevel="2" x14ac:dyDescent="0.2">
      <c r="A2608" s="40" t="s">
        <v>8684</v>
      </c>
      <c r="B2608" s="40"/>
      <c r="C2608" s="40"/>
      <c r="D2608" s="40"/>
      <c r="E2608" s="40"/>
      <c r="F2608" s="40"/>
      <c r="G2608" s="40"/>
      <c r="H2608" s="40"/>
      <c r="I2608" s="40"/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20"/>
    </row>
    <row r="2609" spans="1:50" s="1" customFormat="1" ht="21.95" customHeight="1" outlineLevel="3" x14ac:dyDescent="0.2">
      <c r="A2609" s="21"/>
      <c r="B2609" s="22">
        <v>840</v>
      </c>
      <c r="C2609" s="22">
        <v>990</v>
      </c>
      <c r="D2609" s="22">
        <v>26961</v>
      </c>
      <c r="E2609" s="23"/>
      <c r="F2609" s="23" t="s">
        <v>8685</v>
      </c>
      <c r="G2609" s="23" t="s">
        <v>56</v>
      </c>
      <c r="H2609" s="23"/>
      <c r="I2609" s="22">
        <v>2022</v>
      </c>
      <c r="J2609" s="23" t="s">
        <v>8686</v>
      </c>
      <c r="K2609" s="22">
        <v>9785961483529</v>
      </c>
      <c r="L2609" s="23" t="s">
        <v>8687</v>
      </c>
      <c r="M2609" s="23"/>
      <c r="N2609" s="21"/>
      <c r="O2609" s="21"/>
      <c r="P2609" s="21"/>
      <c r="Q2609" s="23"/>
      <c r="R2609" s="23"/>
      <c r="S2609" s="23"/>
      <c r="T2609" s="23"/>
      <c r="U2609" s="23"/>
      <c r="V2609" s="23" t="s">
        <v>45</v>
      </c>
      <c r="W2609" s="22">
        <v>20</v>
      </c>
      <c r="X2609" s="35" t="str">
        <f>HYPERLINK("https://www.alpinabook.ru/catalog/book-komplekt-devushka-s-dengami","ссылка на книгу")</f>
        <v>ссылка на книгу</v>
      </c>
      <c r="Y2609" s="36" t="str">
        <f>HYPERLINK("","")</f>
        <v/>
      </c>
      <c r="Z2609" s="23"/>
      <c r="AT2609" s="1">
        <f>IF($A2609&lt;&gt;0,1,0)</f>
        <v>0</v>
      </c>
      <c r="AU2609" s="1">
        <f>$A2609*$B2609</f>
        <v>0</v>
      </c>
      <c r="AV2609" s="1">
        <f>$A2609*$N2609</f>
        <v>0</v>
      </c>
      <c r="AW2609" s="1">
        <f>IF($Q2609=0,0,INT($A2609/$Q2609))</f>
        <v>0</v>
      </c>
      <c r="AX2609" s="1">
        <f>$A2609-$AW2609*$Q2609</f>
        <v>0</v>
      </c>
    </row>
    <row r="2610" spans="1:50" ht="15" customHeight="1" outlineLevel="1" x14ac:dyDescent="0.2">
      <c r="A2610" s="39" t="s">
        <v>8688</v>
      </c>
      <c r="B2610" s="39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19"/>
    </row>
    <row r="2611" spans="1:50" ht="11.1" customHeight="1" outlineLevel="2" x14ac:dyDescent="0.2">
      <c r="A2611" s="40" t="s">
        <v>8689</v>
      </c>
      <c r="B2611" s="40"/>
      <c r="C2611" s="40"/>
      <c r="D2611" s="40"/>
      <c r="E2611" s="40"/>
      <c r="F2611" s="40"/>
      <c r="G2611" s="40"/>
      <c r="H2611" s="40"/>
      <c r="I2611" s="40"/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20"/>
    </row>
    <row r="2612" spans="1:50" s="1" customFormat="1" ht="24.95" customHeight="1" outlineLevel="3" x14ac:dyDescent="0.2">
      <c r="A2612" s="21"/>
      <c r="B2612" s="25">
        <v>1290</v>
      </c>
      <c r="C2612" s="25">
        <v>1790</v>
      </c>
      <c r="D2612" s="22">
        <v>28687</v>
      </c>
      <c r="E2612" s="23" t="s">
        <v>8690</v>
      </c>
      <c r="F2612" s="23" t="s">
        <v>8691</v>
      </c>
      <c r="G2612" s="23" t="s">
        <v>49</v>
      </c>
      <c r="H2612" s="23" t="s">
        <v>40</v>
      </c>
      <c r="I2612" s="22">
        <v>2024</v>
      </c>
      <c r="J2612" s="23" t="s">
        <v>8692</v>
      </c>
      <c r="K2612" s="22">
        <v>9786017147877</v>
      </c>
      <c r="L2612" s="23" t="s">
        <v>8693</v>
      </c>
      <c r="M2612" s="22">
        <v>473</v>
      </c>
      <c r="N2612" s="24">
        <v>0.63</v>
      </c>
      <c r="O2612" s="22">
        <v>170</v>
      </c>
      <c r="P2612" s="22">
        <v>240</v>
      </c>
      <c r="Q2612" s="22">
        <v>4</v>
      </c>
      <c r="R2612" s="23" t="s">
        <v>94</v>
      </c>
      <c r="S2612" s="23"/>
      <c r="T2612" s="25">
        <v>2700</v>
      </c>
      <c r="U2612" s="23" t="s">
        <v>44</v>
      </c>
      <c r="V2612" s="23" t="s">
        <v>89</v>
      </c>
      <c r="W2612" s="22">
        <v>20</v>
      </c>
      <c r="X2612" s="35" t="str">
        <f>HYPERLINK("","ссылка на книгу")</f>
        <v>ссылка на книгу</v>
      </c>
      <c r="Y2612" s="36" t="str">
        <f>HYPERLINK("","")</f>
        <v/>
      </c>
      <c r="Z2612" s="23"/>
      <c r="AT2612" s="1">
        <f>IF($A2612&lt;&gt;0,1,0)</f>
        <v>0</v>
      </c>
      <c r="AU2612" s="1">
        <f>$A2612*$B2612</f>
        <v>0</v>
      </c>
      <c r="AV2612" s="1">
        <f>$A2612*$N2612</f>
        <v>0</v>
      </c>
      <c r="AW2612" s="1">
        <f>IF($Q2612=0,0,INT($A2612/$Q2612))</f>
        <v>0</v>
      </c>
      <c r="AX2612" s="1">
        <f>$A2612-$AW2612*$Q2612</f>
        <v>0</v>
      </c>
    </row>
  </sheetData>
  <mergeCells count="133">
    <mergeCell ref="A2:E2"/>
    <mergeCell ref="T2:U2"/>
    <mergeCell ref="A3:E3"/>
    <mergeCell ref="T3:U3"/>
    <mergeCell ref="A4:E4"/>
    <mergeCell ref="P4:S4"/>
    <mergeCell ref="T4:U4"/>
    <mergeCell ref="A5:E5"/>
    <mergeCell ref="P5:S5"/>
    <mergeCell ref="T5:U5"/>
    <mergeCell ref="A6:E6"/>
    <mergeCell ref="P6:S6"/>
    <mergeCell ref="T6:U6"/>
    <mergeCell ref="A7:E7"/>
    <mergeCell ref="P7:S7"/>
    <mergeCell ref="T7:U7"/>
    <mergeCell ref="A8:E8"/>
    <mergeCell ref="P8:S8"/>
    <mergeCell ref="T8:U8"/>
    <mergeCell ref="A9:E9"/>
    <mergeCell ref="P9:S9"/>
    <mergeCell ref="T9:U9"/>
    <mergeCell ref="F13:M15"/>
    <mergeCell ref="A19:Y19"/>
    <mergeCell ref="A60:Y60"/>
    <mergeCell ref="A209:Y209"/>
    <mergeCell ref="A247:Y247"/>
    <mergeCell ref="A248:Y248"/>
    <mergeCell ref="A249:Y249"/>
    <mergeCell ref="A251:Y251"/>
    <mergeCell ref="A252:Y252"/>
    <mergeCell ref="A298:Y298"/>
    <mergeCell ref="A523:Y523"/>
    <mergeCell ref="A551:Y551"/>
    <mergeCell ref="A576:Y576"/>
    <mergeCell ref="A593:Y593"/>
    <mergeCell ref="A601:Y601"/>
    <mergeCell ref="A650:Y650"/>
    <mergeCell ref="A651:Y651"/>
    <mergeCell ref="A665:Y665"/>
    <mergeCell ref="A675:Y675"/>
    <mergeCell ref="A703:Y703"/>
    <mergeCell ref="A711:Y711"/>
    <mergeCell ref="A712:Y712"/>
    <mergeCell ref="A773:Y773"/>
    <mergeCell ref="A809:Y809"/>
    <mergeCell ref="A828:Y828"/>
    <mergeCell ref="A916:Y916"/>
    <mergeCell ref="A949:Y949"/>
    <mergeCell ref="A964:Y964"/>
    <mergeCell ref="A1037:Y1037"/>
    <mergeCell ref="A1074:Y1074"/>
    <mergeCell ref="A1085:Y1085"/>
    <mergeCell ref="A1121:Y1121"/>
    <mergeCell ref="A1144:Y1144"/>
    <mergeCell ref="A1146:Y1146"/>
    <mergeCell ref="A1162:Y1162"/>
    <mergeCell ref="A1179:Y1179"/>
    <mergeCell ref="A1181:Y1181"/>
    <mergeCell ref="A1183:Y1183"/>
    <mergeCell ref="A1205:Y1205"/>
    <mergeCell ref="A1213:Y1213"/>
    <mergeCell ref="A1214:Y1214"/>
    <mergeCell ref="A1230:Y1230"/>
    <mergeCell ref="A1253:Y1253"/>
    <mergeCell ref="A1276:Y1276"/>
    <mergeCell ref="A1333:Y1333"/>
    <mergeCell ref="A1354:Y1354"/>
    <mergeCell ref="A1394:Y1394"/>
    <mergeCell ref="A1423:Y1423"/>
    <mergeCell ref="A1432:Y1432"/>
    <mergeCell ref="A1461:Y1461"/>
    <mergeCell ref="A1494:Y1494"/>
    <mergeCell ref="A1510:Y1510"/>
    <mergeCell ref="A1540:Y1540"/>
    <mergeCell ref="A1547:Y1547"/>
    <mergeCell ref="A1548:Y1548"/>
    <mergeCell ref="A1560:Y1560"/>
    <mergeCell ref="A1572:Y1572"/>
    <mergeCell ref="A1626:Y1626"/>
    <mergeCell ref="A1636:Y1636"/>
    <mergeCell ref="A1642:Y1642"/>
    <mergeCell ref="A1643:Y1643"/>
    <mergeCell ref="A1652:Y1652"/>
    <mergeCell ref="A1656:Y1656"/>
    <mergeCell ref="A1661:Y1661"/>
    <mergeCell ref="A1669:Y1669"/>
    <mergeCell ref="A1681:Y1681"/>
    <mergeCell ref="A1683:Y1683"/>
    <mergeCell ref="A1684:Y1684"/>
    <mergeCell ref="A1721:Y1721"/>
    <mergeCell ref="A1728:Y1728"/>
    <mergeCell ref="A1741:Y1741"/>
    <mergeCell ref="A1837:Y1837"/>
    <mergeCell ref="A1856:Y1856"/>
    <mergeCell ref="A1987:Y1987"/>
    <mergeCell ref="A2002:Y2002"/>
    <mergeCell ref="A2006:Y2006"/>
    <mergeCell ref="A2012:Y2012"/>
    <mergeCell ref="A2018:Y2018"/>
    <mergeCell ref="A2045:Y2045"/>
    <mergeCell ref="A2065:Y2065"/>
    <mergeCell ref="A2068:Y2068"/>
    <mergeCell ref="A2076:Y2076"/>
    <mergeCell ref="A2078:Y2078"/>
    <mergeCell ref="A2091:Y2091"/>
    <mergeCell ref="A2115:Y2115"/>
    <mergeCell ref="A2117:Y2117"/>
    <mergeCell ref="A2123:Y2123"/>
    <mergeCell ref="A2131:Y2131"/>
    <mergeCell ref="A2132:Y2132"/>
    <mergeCell ref="A2143:Y2143"/>
    <mergeCell ref="A2150:Y2150"/>
    <mergeCell ref="A2156:Y2156"/>
    <mergeCell ref="A2162:Y2162"/>
    <mergeCell ref="A2187:Y2187"/>
    <mergeCell ref="A2193:Y2193"/>
    <mergeCell ref="A2194:Y2194"/>
    <mergeCell ref="A2603:Y2603"/>
    <mergeCell ref="A2604:Y2604"/>
    <mergeCell ref="A2607:Y2607"/>
    <mergeCell ref="A2608:Y2608"/>
    <mergeCell ref="A2610:Y2610"/>
    <mergeCell ref="A2611:Y2611"/>
    <mergeCell ref="A2212:Y2212"/>
    <mergeCell ref="A2236:Y2236"/>
    <mergeCell ref="A2374:Y2374"/>
    <mergeCell ref="A2379:Y2379"/>
    <mergeCell ref="A2409:Y2409"/>
    <mergeCell ref="A2415:Y2415"/>
    <mergeCell ref="A2436:Y2436"/>
    <mergeCell ref="A2492:Y2492"/>
    <mergeCell ref="A2493:Y2493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2025-04-03T05:36:43Z</dcterms:created>
  <dcterms:modified xsi:type="dcterms:W3CDTF">2025-04-03T05:36:43Z</dcterms:modified>
</cp:coreProperties>
</file>